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05" windowWidth="14805" windowHeight="8010" firstSheet="1" activeTab="5"/>
  </bookViews>
  <sheets>
    <sheet name="OsloCTM2" sheetId="1" r:id="rId1"/>
    <sheet name="NorESM" sheetId="2" r:id="rId2"/>
    <sheet name="HadGEM3" sheetId="3" r:id="rId3"/>
    <sheet name="ECHAM6" sheetId="4" r:id="rId4"/>
    <sheet name="Methane" sheetId="8" r:id="rId5"/>
    <sheet name="Best(OsloNitr)" sheetId="11" r:id="rId6"/>
  </sheets>
  <calcPr calcId="145621"/>
</workbook>
</file>

<file path=xl/calcChain.xml><?xml version="1.0" encoding="utf-8"?>
<calcChain xmlns="http://schemas.openxmlformats.org/spreadsheetml/2006/main">
  <c r="AL54" i="11" l="1"/>
  <c r="AL53" i="11"/>
  <c r="AL50" i="11"/>
  <c r="AL49" i="11"/>
  <c r="AL48" i="11"/>
  <c r="AL47" i="11"/>
  <c r="AL46" i="11"/>
  <c r="AL45" i="11"/>
  <c r="AE45" i="11"/>
  <c r="AE46" i="11"/>
  <c r="AE47" i="11"/>
  <c r="AE48" i="11"/>
  <c r="AE49" i="11"/>
  <c r="AE50" i="11"/>
  <c r="AE53" i="11"/>
  <c r="AE54" i="11"/>
  <c r="X54" i="11"/>
  <c r="X53" i="11"/>
  <c r="X50" i="11"/>
  <c r="X49" i="11"/>
  <c r="X48" i="11"/>
  <c r="X47" i="11"/>
  <c r="X46" i="11"/>
  <c r="X45" i="11"/>
  <c r="Z54" i="11" l="1"/>
  <c r="Z53" i="11"/>
  <c r="Z52" i="11"/>
  <c r="Z51" i="11"/>
  <c r="F52" i="11" l="1"/>
  <c r="F51" i="11"/>
  <c r="AN72" i="11" l="1"/>
  <c r="AM72" i="11"/>
  <c r="AG72" i="11"/>
  <c r="AF72" i="11"/>
  <c r="Z72" i="11"/>
  <c r="U72" i="11"/>
  <c r="V72" i="11" s="1"/>
  <c r="Q72" i="11"/>
  <c r="N72" i="11"/>
  <c r="M72" i="11"/>
  <c r="E72" i="11"/>
  <c r="Y72" i="11" s="1"/>
  <c r="AN71" i="11"/>
  <c r="AM71" i="11"/>
  <c r="AG71" i="11"/>
  <c r="Z71" i="11"/>
  <c r="U71" i="11"/>
  <c r="V71" i="11" s="1"/>
  <c r="E71" i="11"/>
  <c r="Y71" i="11" s="1"/>
  <c r="Z64" i="11"/>
  <c r="AN64" i="11" s="1"/>
  <c r="E64" i="11"/>
  <c r="Y64" i="11" s="1"/>
  <c r="AF64" i="11" s="1"/>
  <c r="AM64" i="11" s="1"/>
  <c r="Z63" i="11"/>
  <c r="AN63" i="11" s="1"/>
  <c r="E63" i="11"/>
  <c r="Y63" i="11" s="1"/>
  <c r="AF63" i="11" s="1"/>
  <c r="AM63" i="11" s="1"/>
  <c r="AN54" i="11"/>
  <c r="H54" i="11"/>
  <c r="AN53" i="11"/>
  <c r="Z44" i="11"/>
  <c r="AN44" i="11" s="1"/>
  <c r="U44" i="11"/>
  <c r="V44" i="11" s="1"/>
  <c r="E44" i="11"/>
  <c r="Y44" i="11" s="1"/>
  <c r="AF44" i="11" s="1"/>
  <c r="AM44" i="11" s="1"/>
  <c r="Z43" i="11"/>
  <c r="AN43" i="11" s="1"/>
  <c r="U43" i="11"/>
  <c r="V43" i="11" s="1"/>
  <c r="E43" i="11"/>
  <c r="Y43" i="11" s="1"/>
  <c r="AF43" i="11" s="1"/>
  <c r="AM43" i="11" s="1"/>
  <c r="Z34" i="11"/>
  <c r="AN34" i="11" s="1"/>
  <c r="U34" i="11"/>
  <c r="V34" i="11" s="1"/>
  <c r="E34" i="11"/>
  <c r="Y34" i="11" s="1"/>
  <c r="AF34" i="11" s="1"/>
  <c r="AM34" i="11" s="1"/>
  <c r="Z33" i="11"/>
  <c r="AN33" i="11" s="1"/>
  <c r="U33" i="11"/>
  <c r="V33" i="11" s="1"/>
  <c r="E33" i="11"/>
  <c r="Y33" i="11" s="1"/>
  <c r="AF33" i="11" s="1"/>
  <c r="AM33" i="11" s="1"/>
  <c r="Z24" i="11"/>
  <c r="AN24" i="11" s="1"/>
  <c r="U24" i="11"/>
  <c r="V24" i="11" s="1"/>
  <c r="E24" i="11"/>
  <c r="Y24" i="11" s="1"/>
  <c r="AF24" i="11" s="1"/>
  <c r="AM24" i="11" s="1"/>
  <c r="AN23" i="11"/>
  <c r="Z23" i="11"/>
  <c r="AG23" i="11" s="1"/>
  <c r="U23" i="11"/>
  <c r="V23" i="11" s="1"/>
  <c r="E23" i="11"/>
  <c r="Z14" i="11"/>
  <c r="H14" i="11"/>
  <c r="E14" i="11"/>
  <c r="Z13" i="11"/>
  <c r="E13" i="11"/>
  <c r="H64" i="4"/>
  <c r="J63" i="4"/>
  <c r="G63" i="4"/>
  <c r="E63" i="4"/>
  <c r="I63" i="4" s="1"/>
  <c r="F64" i="4"/>
  <c r="F63" i="4"/>
  <c r="H63" i="4" s="1"/>
  <c r="C64" i="4"/>
  <c r="C63" i="4"/>
  <c r="H54" i="4"/>
  <c r="H53" i="4"/>
  <c r="E54" i="4"/>
  <c r="I54" i="4" s="1"/>
  <c r="F54" i="4"/>
  <c r="C54" i="4"/>
  <c r="G54" i="4" s="1"/>
  <c r="U54" i="11" s="1"/>
  <c r="V54" i="11" s="1"/>
  <c r="F53" i="4"/>
  <c r="C53" i="4"/>
  <c r="G14" i="4"/>
  <c r="H13" i="4"/>
  <c r="E14" i="4"/>
  <c r="I14" i="4" s="1"/>
  <c r="F14" i="4"/>
  <c r="H14" i="4" s="1"/>
  <c r="J14" i="4" s="1"/>
  <c r="F13" i="4"/>
  <c r="C14" i="4"/>
  <c r="C13" i="4"/>
  <c r="L72" i="3"/>
  <c r="S72" i="11" s="1"/>
  <c r="K72" i="3"/>
  <c r="O72" i="3" s="1"/>
  <c r="J72" i="3"/>
  <c r="I72" i="3"/>
  <c r="G72" i="3"/>
  <c r="M72" i="3" s="1"/>
  <c r="I73" i="3"/>
  <c r="N73" i="3" s="1"/>
  <c r="J73" i="3"/>
  <c r="M71" i="3"/>
  <c r="L71" i="3"/>
  <c r="S71" i="11" s="1"/>
  <c r="K71" i="3"/>
  <c r="J71" i="3"/>
  <c r="Q71" i="11" s="1"/>
  <c r="I71" i="3"/>
  <c r="G71" i="3"/>
  <c r="H64" i="3"/>
  <c r="L64" i="3" s="1"/>
  <c r="S64" i="11" s="1"/>
  <c r="H63" i="3"/>
  <c r="L63" i="3" s="1"/>
  <c r="S63" i="11" s="1"/>
  <c r="C64" i="3"/>
  <c r="C63" i="3"/>
  <c r="H54" i="3"/>
  <c r="L54" i="3" s="1"/>
  <c r="S54" i="11" s="1"/>
  <c r="H53" i="3"/>
  <c r="L53" i="3" s="1"/>
  <c r="S53" i="11" s="1"/>
  <c r="C54" i="3"/>
  <c r="C53" i="3"/>
  <c r="I43" i="3"/>
  <c r="H43" i="3"/>
  <c r="J43" i="3" s="1"/>
  <c r="Q43" i="11" s="1"/>
  <c r="H44" i="3"/>
  <c r="D44" i="3"/>
  <c r="J44" i="3" s="1"/>
  <c r="D43" i="3"/>
  <c r="C44" i="3"/>
  <c r="C43" i="3"/>
  <c r="H34" i="3"/>
  <c r="D34" i="3"/>
  <c r="H33" i="3"/>
  <c r="J33" i="3" s="1"/>
  <c r="Q33" i="11" s="1"/>
  <c r="D33" i="3"/>
  <c r="C34" i="3"/>
  <c r="C33" i="3"/>
  <c r="H24" i="3"/>
  <c r="D24" i="3"/>
  <c r="H23" i="3"/>
  <c r="J23" i="3" s="1"/>
  <c r="Q23" i="11" s="1"/>
  <c r="D23" i="3"/>
  <c r="C24" i="3"/>
  <c r="C23" i="3"/>
  <c r="AA23" i="3" s="1"/>
  <c r="AE23" i="3" s="1"/>
  <c r="H14" i="3"/>
  <c r="H13" i="3"/>
  <c r="C14" i="3"/>
  <c r="C13" i="3"/>
  <c r="P72" i="2"/>
  <c r="O72" i="2"/>
  <c r="S72" i="2" s="1"/>
  <c r="N72" i="2"/>
  <c r="M72" i="2"/>
  <c r="L72" i="11" s="1"/>
  <c r="L72" i="2"/>
  <c r="K72" i="2"/>
  <c r="I72" i="2"/>
  <c r="P71" i="2"/>
  <c r="N71" i="11" s="1"/>
  <c r="O71" i="2"/>
  <c r="N71" i="2"/>
  <c r="M71" i="2"/>
  <c r="L71" i="11" s="1"/>
  <c r="L71" i="2"/>
  <c r="K71" i="2"/>
  <c r="I71" i="2"/>
  <c r="D64" i="2"/>
  <c r="D63" i="2"/>
  <c r="C64" i="2"/>
  <c r="C63" i="2"/>
  <c r="D54" i="2"/>
  <c r="D53" i="2"/>
  <c r="C54" i="2"/>
  <c r="I54" i="2" s="1"/>
  <c r="C53" i="2"/>
  <c r="F44" i="2"/>
  <c r="E44" i="2"/>
  <c r="D44" i="2"/>
  <c r="F43" i="2"/>
  <c r="E43" i="2"/>
  <c r="D43" i="2"/>
  <c r="C44" i="2"/>
  <c r="C43" i="2"/>
  <c r="F34" i="2"/>
  <c r="E34" i="2"/>
  <c r="D34" i="2"/>
  <c r="F33" i="2"/>
  <c r="E33" i="2"/>
  <c r="D33" i="2"/>
  <c r="C34" i="2"/>
  <c r="C33" i="2"/>
  <c r="F24" i="2"/>
  <c r="E24" i="2"/>
  <c r="D24" i="2"/>
  <c r="F23" i="2"/>
  <c r="E23" i="2"/>
  <c r="D23" i="2"/>
  <c r="C24" i="2"/>
  <c r="C23" i="2"/>
  <c r="I13" i="2"/>
  <c r="D14" i="2"/>
  <c r="D13" i="2"/>
  <c r="C14" i="2"/>
  <c r="I14" i="2" s="1"/>
  <c r="C13" i="2"/>
  <c r="AH72" i="1"/>
  <c r="W72" i="2" s="1"/>
  <c r="AA72" i="2" s="1"/>
  <c r="Z72" i="1"/>
  <c r="I72" i="11" s="1"/>
  <c r="AJ72" i="11" s="1"/>
  <c r="Y72" i="1"/>
  <c r="U72" i="1"/>
  <c r="S72" i="1"/>
  <c r="R72" i="1"/>
  <c r="P72" i="1"/>
  <c r="Z71" i="1"/>
  <c r="I71" i="11" s="1"/>
  <c r="AJ71" i="11" s="1"/>
  <c r="Y71" i="1"/>
  <c r="X71" i="1"/>
  <c r="W71" i="1"/>
  <c r="G71" i="11" s="1"/>
  <c r="AA71" i="11" s="1"/>
  <c r="S71" i="1"/>
  <c r="P71" i="1"/>
  <c r="O72" i="1"/>
  <c r="X72" i="1" s="1"/>
  <c r="H72" i="1"/>
  <c r="D72" i="1"/>
  <c r="AK72" i="1" s="1"/>
  <c r="AA72" i="3" s="1"/>
  <c r="AE72" i="3" s="1"/>
  <c r="O71" i="1"/>
  <c r="T71" i="1" s="1"/>
  <c r="H71" i="1"/>
  <c r="U71" i="1" s="1"/>
  <c r="D71" i="1"/>
  <c r="C72" i="1"/>
  <c r="N72" i="1" s="1"/>
  <c r="AA72" i="1" s="1"/>
  <c r="C71" i="1"/>
  <c r="N71" i="1" s="1"/>
  <c r="AA71" i="1" s="1"/>
  <c r="AK64" i="1"/>
  <c r="P64" i="1"/>
  <c r="AK63" i="1"/>
  <c r="W63" i="1"/>
  <c r="U63" i="1"/>
  <c r="N63" i="1"/>
  <c r="AA63" i="1" s="1"/>
  <c r="O64" i="1"/>
  <c r="X64" i="1" s="1"/>
  <c r="H64" i="1"/>
  <c r="O63" i="1"/>
  <c r="H63" i="1"/>
  <c r="G64" i="1"/>
  <c r="AH64" i="1" s="1"/>
  <c r="G63" i="1"/>
  <c r="AH63" i="1" s="1"/>
  <c r="Y54" i="1"/>
  <c r="X54" i="1"/>
  <c r="T54" i="1"/>
  <c r="S54" i="1"/>
  <c r="Q54" i="1"/>
  <c r="P54" i="1"/>
  <c r="W53" i="1"/>
  <c r="R53" i="1"/>
  <c r="N54" i="1"/>
  <c r="AA54" i="1" s="1"/>
  <c r="O54" i="1"/>
  <c r="W54" i="1" s="1"/>
  <c r="G54" i="11" s="1"/>
  <c r="I54" i="1"/>
  <c r="V54" i="1" s="1"/>
  <c r="E54" i="11" s="1"/>
  <c r="Y54" i="11" s="1"/>
  <c r="AF54" i="11" s="1"/>
  <c r="AM54" i="11" s="1"/>
  <c r="H54" i="1"/>
  <c r="U54" i="1" s="1"/>
  <c r="O53" i="1"/>
  <c r="Q53" i="1" s="1"/>
  <c r="I53" i="1"/>
  <c r="V53" i="1" s="1"/>
  <c r="E53" i="11" s="1"/>
  <c r="Y53" i="11" s="1"/>
  <c r="AF53" i="11" s="1"/>
  <c r="AM53" i="11" s="1"/>
  <c r="H53" i="1"/>
  <c r="U53" i="1" s="1"/>
  <c r="F54" i="1"/>
  <c r="AK54" i="1" s="1"/>
  <c r="F53" i="1"/>
  <c r="N53" i="1" s="1"/>
  <c r="AA53" i="1" s="1"/>
  <c r="AH43" i="1"/>
  <c r="L44" i="1"/>
  <c r="K44" i="1"/>
  <c r="J44" i="1"/>
  <c r="H44" i="1"/>
  <c r="E44" i="1"/>
  <c r="D44" i="1"/>
  <c r="H34" i="1"/>
  <c r="U34" i="1" s="1"/>
  <c r="H33" i="1"/>
  <c r="L43" i="1"/>
  <c r="K43" i="1"/>
  <c r="J43" i="1"/>
  <c r="H43" i="1"/>
  <c r="E43" i="1"/>
  <c r="D43" i="1"/>
  <c r="C44" i="1"/>
  <c r="C43" i="1"/>
  <c r="Y34" i="1"/>
  <c r="H34" i="11" s="1"/>
  <c r="X34" i="1"/>
  <c r="T34" i="1"/>
  <c r="AK33" i="1"/>
  <c r="Y33" i="1"/>
  <c r="Q33" i="1"/>
  <c r="O34" i="1"/>
  <c r="S34" i="1" s="1"/>
  <c r="L34" i="1"/>
  <c r="K34" i="1"/>
  <c r="J34" i="1"/>
  <c r="W34" i="1" s="1"/>
  <c r="E34" i="1"/>
  <c r="R34" i="1" s="1"/>
  <c r="D34" i="1"/>
  <c r="C34" i="1"/>
  <c r="O33" i="1"/>
  <c r="X33" i="1" s="1"/>
  <c r="L33" i="1"/>
  <c r="K33" i="1"/>
  <c r="J33" i="1"/>
  <c r="W33" i="1" s="1"/>
  <c r="G33" i="11" s="1"/>
  <c r="E33" i="1"/>
  <c r="AH33" i="1" s="1"/>
  <c r="W33" i="2" s="1"/>
  <c r="D33" i="1"/>
  <c r="C33" i="1"/>
  <c r="P33" i="1" s="1"/>
  <c r="U24" i="1"/>
  <c r="AK23" i="1"/>
  <c r="O24" i="1"/>
  <c r="Y24" i="1" s="1"/>
  <c r="L24" i="1"/>
  <c r="K24" i="1"/>
  <c r="X24" i="1" s="1"/>
  <c r="J24" i="1"/>
  <c r="H24" i="1"/>
  <c r="D24" i="1"/>
  <c r="AK24" i="1" s="1"/>
  <c r="C24" i="1"/>
  <c r="O23" i="1"/>
  <c r="S23" i="1" s="1"/>
  <c r="L23" i="1"/>
  <c r="K23" i="1"/>
  <c r="X23" i="1" s="1"/>
  <c r="J23" i="1"/>
  <c r="H23" i="1"/>
  <c r="D23" i="1"/>
  <c r="C23" i="1"/>
  <c r="AK14" i="1"/>
  <c r="AH14" i="1"/>
  <c r="R14" i="4" s="1"/>
  <c r="V14" i="4" s="1"/>
  <c r="Z14" i="1"/>
  <c r="I14" i="11" s="1"/>
  <c r="T14" i="1"/>
  <c r="S14" i="1"/>
  <c r="Q14" i="1"/>
  <c r="U14" i="11" s="1"/>
  <c r="V14" i="11" s="1"/>
  <c r="Q13" i="1"/>
  <c r="O14" i="1"/>
  <c r="Y14" i="1" s="1"/>
  <c r="AC14" i="1" s="1"/>
  <c r="H14" i="1"/>
  <c r="U14" i="1" s="1"/>
  <c r="D14" i="1"/>
  <c r="C14" i="1"/>
  <c r="P14" i="1" s="1"/>
  <c r="O13" i="1"/>
  <c r="Z13" i="1" s="1"/>
  <c r="I13" i="11" s="1"/>
  <c r="H13" i="1"/>
  <c r="U13" i="1" s="1"/>
  <c r="D13" i="1"/>
  <c r="C13" i="1"/>
  <c r="P13" i="1" s="1"/>
  <c r="H24" i="11" l="1"/>
  <c r="N13" i="1"/>
  <c r="AA13" i="1" s="1"/>
  <c r="Q71" i="2"/>
  <c r="K71" i="11"/>
  <c r="Q72" i="2"/>
  <c r="K72" i="11"/>
  <c r="O72" i="11" s="1"/>
  <c r="J14" i="3"/>
  <c r="Q14" i="11" s="1"/>
  <c r="L14" i="3"/>
  <c r="S14" i="11" s="1"/>
  <c r="E13" i="4"/>
  <c r="I13" i="4" s="1"/>
  <c r="G13" i="4"/>
  <c r="J13" i="4" s="1"/>
  <c r="AG14" i="11"/>
  <c r="AN14" i="11"/>
  <c r="AK13" i="1"/>
  <c r="Y23" i="1"/>
  <c r="P24" i="1"/>
  <c r="R63" i="1"/>
  <c r="Z63" i="1"/>
  <c r="I63" i="11" s="1"/>
  <c r="Q63" i="1"/>
  <c r="Y63" i="1"/>
  <c r="P63" i="1"/>
  <c r="X63" i="1"/>
  <c r="G63" i="11" s="1"/>
  <c r="AK71" i="1"/>
  <c r="AA71" i="3" s="1"/>
  <c r="AE71" i="3" s="1"/>
  <c r="AH71" i="1"/>
  <c r="W71" i="2" s="1"/>
  <c r="AA71" i="2" s="1"/>
  <c r="Q71" i="1"/>
  <c r="AB71" i="1" s="1"/>
  <c r="W43" i="2"/>
  <c r="I64" i="2"/>
  <c r="K14" i="3"/>
  <c r="J34" i="3"/>
  <c r="AN13" i="11"/>
  <c r="AG13" i="11"/>
  <c r="U13" i="11"/>
  <c r="V13" i="11" s="1"/>
  <c r="N72" i="3"/>
  <c r="P72" i="11"/>
  <c r="U64" i="1"/>
  <c r="Y13" i="1"/>
  <c r="P23" i="1"/>
  <c r="R23" i="1"/>
  <c r="AH34" i="1"/>
  <c r="W34" i="2" s="1"/>
  <c r="P34" i="1"/>
  <c r="D34" i="11" s="1"/>
  <c r="T53" i="1"/>
  <c r="X53" i="1"/>
  <c r="P53" i="1"/>
  <c r="Y53" i="1"/>
  <c r="W54" i="2"/>
  <c r="E53" i="4"/>
  <c r="I53" i="4" s="1"/>
  <c r="G53" i="4"/>
  <c r="U53" i="11" s="1"/>
  <c r="V53" i="11" s="1"/>
  <c r="W13" i="1"/>
  <c r="T64" i="1"/>
  <c r="S64" i="1"/>
  <c r="R64" i="1"/>
  <c r="Z64" i="1"/>
  <c r="I64" i="11" s="1"/>
  <c r="Q64" i="1"/>
  <c r="AB64" i="1" s="1"/>
  <c r="W64" i="1"/>
  <c r="G64" i="11" s="1"/>
  <c r="AC72" i="1"/>
  <c r="H72" i="11"/>
  <c r="AA24" i="3"/>
  <c r="AE24" i="3" s="1"/>
  <c r="I24" i="3"/>
  <c r="E64" i="4"/>
  <c r="I64" i="4" s="1"/>
  <c r="G64" i="4"/>
  <c r="Q23" i="1"/>
  <c r="T23" i="1"/>
  <c r="AK34" i="1"/>
  <c r="AA34" i="3" s="1"/>
  <c r="AE34" i="3" s="1"/>
  <c r="R33" i="1"/>
  <c r="Z53" i="1"/>
  <c r="I53" i="11" s="1"/>
  <c r="AH54" i="1"/>
  <c r="S63" i="1"/>
  <c r="Y64" i="1"/>
  <c r="AC71" i="1"/>
  <c r="H71" i="11"/>
  <c r="W63" i="2"/>
  <c r="AA13" i="3"/>
  <c r="AE13" i="3" s="1"/>
  <c r="I33" i="3"/>
  <c r="AA33" i="3"/>
  <c r="AE33" i="3" s="1"/>
  <c r="I23" i="3"/>
  <c r="G53" i="11"/>
  <c r="N43" i="3"/>
  <c r="I53" i="2"/>
  <c r="W64" i="2"/>
  <c r="J24" i="3"/>
  <c r="Q24" i="11" s="1"/>
  <c r="I34" i="3"/>
  <c r="P34" i="11" s="1"/>
  <c r="Q44" i="11"/>
  <c r="T13" i="1"/>
  <c r="S13" i="1"/>
  <c r="R13" i="1"/>
  <c r="AB13" i="1" s="1"/>
  <c r="X13" i="1"/>
  <c r="T24" i="1"/>
  <c r="S24" i="1"/>
  <c r="R24" i="1"/>
  <c r="W14" i="2"/>
  <c r="U23" i="1"/>
  <c r="H33" i="11"/>
  <c r="W23" i="1"/>
  <c r="G23" i="11" s="1"/>
  <c r="W24" i="1"/>
  <c r="G24" i="11" s="1"/>
  <c r="G34" i="11"/>
  <c r="AK44" i="1"/>
  <c r="AA44" i="3" s="1"/>
  <c r="AE44" i="3" s="1"/>
  <c r="AH44" i="1"/>
  <c r="W44" i="2" s="1"/>
  <c r="L13" i="3"/>
  <c r="S13" i="11" s="1"/>
  <c r="K13" i="3"/>
  <c r="J13" i="3"/>
  <c r="Q13" i="11" s="1"/>
  <c r="J53" i="4"/>
  <c r="U63" i="11"/>
  <c r="V63" i="11" s="1"/>
  <c r="N14" i="1"/>
  <c r="AA14" i="1" s="1"/>
  <c r="R14" i="1"/>
  <c r="AB14" i="1" s="1"/>
  <c r="AH23" i="1"/>
  <c r="W23" i="2" s="1"/>
  <c r="AK43" i="1"/>
  <c r="AA43" i="3" s="1"/>
  <c r="AE43" i="3" s="1"/>
  <c r="R54" i="1"/>
  <c r="D54" i="11" s="1"/>
  <c r="J54" i="11" s="1"/>
  <c r="Z54" i="1"/>
  <c r="I54" i="11" s="1"/>
  <c r="T63" i="1"/>
  <c r="Q72" i="1"/>
  <c r="AB72" i="1" s="1"/>
  <c r="R72" i="2"/>
  <c r="AA14" i="3"/>
  <c r="AE14" i="3" s="1"/>
  <c r="O71" i="3"/>
  <c r="R71" i="11"/>
  <c r="Q24" i="1"/>
  <c r="S33" i="1"/>
  <c r="AB33" i="1" s="1"/>
  <c r="S53" i="1"/>
  <c r="N64" i="1"/>
  <c r="AA64" i="1" s="1"/>
  <c r="R71" i="1"/>
  <c r="T72" i="1"/>
  <c r="S71" i="2"/>
  <c r="AH13" i="1"/>
  <c r="W13" i="2" s="1"/>
  <c r="W14" i="1"/>
  <c r="G14" i="11" s="1"/>
  <c r="T33" i="1"/>
  <c r="Q34" i="1"/>
  <c r="AH53" i="1"/>
  <c r="W53" i="2" s="1"/>
  <c r="I44" i="3"/>
  <c r="N44" i="3" s="1"/>
  <c r="J54" i="4"/>
  <c r="M71" i="11"/>
  <c r="X14" i="1"/>
  <c r="AH24" i="1"/>
  <c r="W24" i="2" s="1"/>
  <c r="AK53" i="1"/>
  <c r="W72" i="1"/>
  <c r="G72" i="11" s="1"/>
  <c r="AA72" i="11" s="1"/>
  <c r="AF71" i="11"/>
  <c r="R72" i="11"/>
  <c r="AB54" i="1"/>
  <c r="I63" i="2"/>
  <c r="AA54" i="3"/>
  <c r="N71" i="3"/>
  <c r="P71" i="11"/>
  <c r="T71" i="11" s="1"/>
  <c r="I63" i="3"/>
  <c r="N63" i="3" s="1"/>
  <c r="J63" i="3"/>
  <c r="Q63" i="11" s="1"/>
  <c r="J64" i="3"/>
  <c r="Q64" i="11" s="1"/>
  <c r="I64" i="3"/>
  <c r="K63" i="3"/>
  <c r="K64" i="3"/>
  <c r="J54" i="3"/>
  <c r="Q54" i="11" s="1"/>
  <c r="I53" i="3"/>
  <c r="J53" i="3"/>
  <c r="Q53" i="11" s="1"/>
  <c r="K54" i="3"/>
  <c r="AE54" i="3"/>
  <c r="K53" i="3"/>
  <c r="N64" i="3"/>
  <c r="P64" i="11"/>
  <c r="AA64" i="3"/>
  <c r="AE64" i="3" s="1"/>
  <c r="G64" i="3"/>
  <c r="M64" i="3" s="1"/>
  <c r="G63" i="3"/>
  <c r="M63" i="3" s="1"/>
  <c r="AA63" i="3"/>
  <c r="AE63" i="3" s="1"/>
  <c r="G54" i="3"/>
  <c r="M54" i="3" s="1"/>
  <c r="I54" i="3"/>
  <c r="P53" i="11"/>
  <c r="G53" i="3"/>
  <c r="M53" i="3" s="1"/>
  <c r="AA53" i="3"/>
  <c r="AE53" i="3" s="1"/>
  <c r="G14" i="3"/>
  <c r="M14" i="3" s="1"/>
  <c r="I14" i="3"/>
  <c r="I13" i="3"/>
  <c r="G13" i="3"/>
  <c r="M13" i="3" s="1"/>
  <c r="AC72" i="11"/>
  <c r="AO72" i="11"/>
  <c r="AH72" i="11"/>
  <c r="AQ72" i="11"/>
  <c r="AC71" i="11"/>
  <c r="AO71" i="11"/>
  <c r="AH71" i="11"/>
  <c r="AQ71" i="11"/>
  <c r="AG64" i="11"/>
  <c r="AG63" i="11"/>
  <c r="AG54" i="11"/>
  <c r="AG53" i="11"/>
  <c r="AG44" i="11"/>
  <c r="AG43" i="11"/>
  <c r="AG34" i="11"/>
  <c r="AG33" i="11"/>
  <c r="AG24" i="11"/>
  <c r="Y23" i="11"/>
  <c r="AF23" i="11" s="1"/>
  <c r="AM23" i="11" s="1"/>
  <c r="Y14" i="11"/>
  <c r="AF14" i="11" s="1"/>
  <c r="AM14" i="11" s="1"/>
  <c r="Y13" i="11"/>
  <c r="AF13" i="11" s="1"/>
  <c r="AM13" i="11" s="1"/>
  <c r="R71" i="2"/>
  <c r="AB34" i="1"/>
  <c r="U33" i="1"/>
  <c r="K74" i="1"/>
  <c r="K73" i="1"/>
  <c r="J74" i="1"/>
  <c r="J73" i="1"/>
  <c r="D33" i="11" l="1"/>
  <c r="U64" i="11"/>
  <c r="V64" i="11" s="1"/>
  <c r="J64" i="4"/>
  <c r="D64" i="11"/>
  <c r="D13" i="11"/>
  <c r="N23" i="3"/>
  <c r="P23" i="11"/>
  <c r="AB24" i="1"/>
  <c r="D24" i="11"/>
  <c r="D72" i="11"/>
  <c r="AC64" i="1"/>
  <c r="H64" i="11"/>
  <c r="AC54" i="1"/>
  <c r="H63" i="11"/>
  <c r="AC63" i="1"/>
  <c r="D71" i="11"/>
  <c r="N24" i="3"/>
  <c r="P24" i="11"/>
  <c r="N33" i="3"/>
  <c r="P33" i="11"/>
  <c r="AI72" i="11"/>
  <c r="AP72" i="11"/>
  <c r="AB72" i="11"/>
  <c r="G13" i="11"/>
  <c r="H23" i="11"/>
  <c r="P63" i="11"/>
  <c r="T63" i="11" s="1"/>
  <c r="O13" i="3"/>
  <c r="R13" i="11"/>
  <c r="D14" i="11"/>
  <c r="J14" i="11" s="1"/>
  <c r="AC53" i="1"/>
  <c r="H53" i="11"/>
  <c r="AB23" i="1"/>
  <c r="D23" i="11"/>
  <c r="T72" i="11"/>
  <c r="N34" i="3"/>
  <c r="Q34" i="11"/>
  <c r="O71" i="11"/>
  <c r="AI71" i="11"/>
  <c r="AB71" i="11"/>
  <c r="AP71" i="11"/>
  <c r="AB63" i="1"/>
  <c r="D63" i="11"/>
  <c r="AB53" i="1"/>
  <c r="D53" i="11"/>
  <c r="AC13" i="1"/>
  <c r="H13" i="11"/>
  <c r="O14" i="3"/>
  <c r="R14" i="11"/>
  <c r="R13" i="4"/>
  <c r="V13" i="4" s="1"/>
  <c r="R63" i="11"/>
  <c r="O63" i="3"/>
  <c r="T64" i="11"/>
  <c r="O64" i="3"/>
  <c r="R64" i="11"/>
  <c r="N53" i="3"/>
  <c r="O53" i="3"/>
  <c r="R53" i="11"/>
  <c r="O54" i="3"/>
  <c r="R54" i="11"/>
  <c r="N54" i="3"/>
  <c r="P54" i="11"/>
  <c r="N14" i="3"/>
  <c r="P14" i="11"/>
  <c r="N13" i="3"/>
  <c r="P13" i="11"/>
  <c r="G73" i="1"/>
  <c r="J64" i="11" l="1"/>
  <c r="J63" i="11"/>
  <c r="J53" i="11"/>
  <c r="X71" i="11"/>
  <c r="AD71" i="11" s="1"/>
  <c r="AL71" i="11"/>
  <c r="AR71" i="11" s="1"/>
  <c r="J71" i="11"/>
  <c r="AE71" i="11"/>
  <c r="AK71" i="11" s="1"/>
  <c r="X72" i="11"/>
  <c r="AD72" i="11" s="1"/>
  <c r="AL72" i="11"/>
  <c r="AR72" i="11" s="1"/>
  <c r="J72" i="11"/>
  <c r="AE72" i="11"/>
  <c r="AK72" i="11" s="1"/>
  <c r="J13" i="11"/>
  <c r="T53" i="11"/>
  <c r="T54" i="11"/>
  <c r="T14" i="11"/>
  <c r="T13" i="11"/>
  <c r="AG76" i="11"/>
  <c r="Z76" i="11"/>
  <c r="AN76" i="11" s="1"/>
  <c r="U76" i="11"/>
  <c r="V76" i="11" s="1"/>
  <c r="I76" i="11"/>
  <c r="H76" i="11"/>
  <c r="G76" i="11"/>
  <c r="E76" i="11"/>
  <c r="Y76" i="11" s="1"/>
  <c r="AF76" i="11" s="1"/>
  <c r="AM76" i="11" s="1"/>
  <c r="D76" i="11"/>
  <c r="Z75" i="11"/>
  <c r="AN75" i="11" s="1"/>
  <c r="U75" i="11"/>
  <c r="V75" i="11" s="1"/>
  <c r="E75" i="11"/>
  <c r="Y75" i="11" s="1"/>
  <c r="AF75" i="11" s="1"/>
  <c r="AM75" i="11" s="1"/>
  <c r="Z74" i="11"/>
  <c r="AN74" i="11" s="1"/>
  <c r="Z73" i="11"/>
  <c r="AG73" i="11" s="1"/>
  <c r="AN70" i="11"/>
  <c r="AM70" i="11"/>
  <c r="AG70" i="11"/>
  <c r="Z70" i="11"/>
  <c r="U70" i="11"/>
  <c r="V70" i="11" s="1"/>
  <c r="E70" i="11"/>
  <c r="Y70" i="11" s="1"/>
  <c r="AN69" i="11"/>
  <c r="AM69" i="11"/>
  <c r="AG69" i="11"/>
  <c r="Z69" i="11"/>
  <c r="U69" i="11"/>
  <c r="V69" i="11" s="1"/>
  <c r="E69" i="11"/>
  <c r="AF69" i="11" s="1"/>
  <c r="AN68" i="11"/>
  <c r="AM68" i="11"/>
  <c r="AG68" i="11"/>
  <c r="Z68" i="11"/>
  <c r="U68" i="11"/>
  <c r="V68" i="11" s="1"/>
  <c r="E68" i="11"/>
  <c r="AF68" i="11" s="1"/>
  <c r="AN67" i="11"/>
  <c r="AM67" i="11"/>
  <c r="AG67" i="11"/>
  <c r="Z67" i="11"/>
  <c r="U67" i="11"/>
  <c r="V67" i="11" s="1"/>
  <c r="E67" i="11"/>
  <c r="Y67" i="11" s="1"/>
  <c r="AN66" i="11"/>
  <c r="AM66" i="11"/>
  <c r="AG66" i="11"/>
  <c r="Z66" i="11"/>
  <c r="U66" i="11"/>
  <c r="V66" i="11" s="1"/>
  <c r="E66" i="11"/>
  <c r="Y66" i="11" s="1"/>
  <c r="AN65" i="11"/>
  <c r="AM65" i="11"/>
  <c r="AG65" i="11"/>
  <c r="Z65" i="11"/>
  <c r="U65" i="11"/>
  <c r="V65" i="11" s="1"/>
  <c r="E65" i="11"/>
  <c r="AF65" i="11" s="1"/>
  <c r="U62" i="11"/>
  <c r="V62" i="11" s="1"/>
  <c r="E62" i="11"/>
  <c r="U61" i="11"/>
  <c r="V61" i="11" s="1"/>
  <c r="E61" i="11"/>
  <c r="Z60" i="11"/>
  <c r="AG60" i="11" s="1"/>
  <c r="E60" i="11"/>
  <c r="Y60" i="11" s="1"/>
  <c r="AF60" i="11" s="1"/>
  <c r="AM60" i="11" s="1"/>
  <c r="Z59" i="11"/>
  <c r="AG59" i="11" s="1"/>
  <c r="E59" i="11"/>
  <c r="Y59" i="11" s="1"/>
  <c r="AF59" i="11" s="1"/>
  <c r="AM59" i="11" s="1"/>
  <c r="Z58" i="11"/>
  <c r="AG58" i="11" s="1"/>
  <c r="E58" i="11"/>
  <c r="Y58" i="11" s="1"/>
  <c r="AF58" i="11" s="1"/>
  <c r="AM58" i="11" s="1"/>
  <c r="Z57" i="11"/>
  <c r="AN57" i="11" s="1"/>
  <c r="E57" i="11"/>
  <c r="Y57" i="11" s="1"/>
  <c r="AF57" i="11" s="1"/>
  <c r="AM57" i="11" s="1"/>
  <c r="Z56" i="11"/>
  <c r="AG56" i="11" s="1"/>
  <c r="E56" i="11"/>
  <c r="Y56" i="11" s="1"/>
  <c r="AF56" i="11" s="1"/>
  <c r="AM56" i="11" s="1"/>
  <c r="Z55" i="11"/>
  <c r="AG55" i="11" s="1"/>
  <c r="E55" i="11"/>
  <c r="Y55" i="11" s="1"/>
  <c r="AF55" i="11" s="1"/>
  <c r="AM55" i="11" s="1"/>
  <c r="AN52" i="11"/>
  <c r="U52" i="11"/>
  <c r="V52" i="11" s="1"/>
  <c r="AG51" i="11"/>
  <c r="U51" i="11"/>
  <c r="V51" i="11" s="1"/>
  <c r="Z50" i="11"/>
  <c r="AN50" i="11" s="1"/>
  <c r="Z49" i="11"/>
  <c r="AG49" i="11" s="1"/>
  <c r="Z48" i="11"/>
  <c r="AN48" i="11" s="1"/>
  <c r="Z47" i="11"/>
  <c r="AG47" i="11" s="1"/>
  <c r="Z46" i="11"/>
  <c r="AN46" i="11" s="1"/>
  <c r="Z45" i="11"/>
  <c r="AG45" i="11" s="1"/>
  <c r="U42" i="11"/>
  <c r="V42" i="11" s="1"/>
  <c r="E42" i="11"/>
  <c r="U41" i="11"/>
  <c r="V41" i="11" s="1"/>
  <c r="E41" i="11"/>
  <c r="Z40" i="11"/>
  <c r="AG40" i="11" s="1"/>
  <c r="U40" i="11"/>
  <c r="V40" i="11" s="1"/>
  <c r="E40" i="11"/>
  <c r="Y40" i="11" s="1"/>
  <c r="AF40" i="11" s="1"/>
  <c r="AM40" i="11" s="1"/>
  <c r="Z39" i="11"/>
  <c r="AG39" i="11" s="1"/>
  <c r="U39" i="11"/>
  <c r="V39" i="11" s="1"/>
  <c r="E39" i="11"/>
  <c r="Y39" i="11" s="1"/>
  <c r="AF39" i="11" s="1"/>
  <c r="AM39" i="11" s="1"/>
  <c r="Z38" i="11"/>
  <c r="AN38" i="11" s="1"/>
  <c r="U38" i="11"/>
  <c r="V38" i="11" s="1"/>
  <c r="E38" i="11"/>
  <c r="Y38" i="11" s="1"/>
  <c r="AF38" i="11" s="1"/>
  <c r="AM38" i="11" s="1"/>
  <c r="Z37" i="11"/>
  <c r="AG37" i="11" s="1"/>
  <c r="U37" i="11"/>
  <c r="V37" i="11" s="1"/>
  <c r="E37" i="11"/>
  <c r="Y37" i="11" s="1"/>
  <c r="AF37" i="11" s="1"/>
  <c r="AM37" i="11" s="1"/>
  <c r="Z36" i="11"/>
  <c r="U36" i="11"/>
  <c r="V36" i="11" s="1"/>
  <c r="E36" i="11"/>
  <c r="Y36" i="11" s="1"/>
  <c r="AF36" i="11" s="1"/>
  <c r="AM36" i="11" s="1"/>
  <c r="Z35" i="11"/>
  <c r="AG35" i="11" s="1"/>
  <c r="U35" i="11"/>
  <c r="V35" i="11" s="1"/>
  <c r="E35" i="11"/>
  <c r="Y35" i="11" s="1"/>
  <c r="AF35" i="11" s="1"/>
  <c r="AM35" i="11" s="1"/>
  <c r="U32" i="11"/>
  <c r="V32" i="11" s="1"/>
  <c r="E32" i="11"/>
  <c r="U31" i="11"/>
  <c r="V31" i="11" s="1"/>
  <c r="E31" i="11"/>
  <c r="Z30" i="11"/>
  <c r="AN30" i="11" s="1"/>
  <c r="U30" i="11"/>
  <c r="V30" i="11" s="1"/>
  <c r="E30" i="11"/>
  <c r="Y30" i="11" s="1"/>
  <c r="AF30" i="11" s="1"/>
  <c r="AM30" i="11" s="1"/>
  <c r="Z29" i="11"/>
  <c r="AN29" i="11" s="1"/>
  <c r="U29" i="11"/>
  <c r="V29" i="11" s="1"/>
  <c r="E29" i="11"/>
  <c r="Y29" i="11" s="1"/>
  <c r="AF29" i="11" s="1"/>
  <c r="AM29" i="11" s="1"/>
  <c r="Z28" i="11"/>
  <c r="AG28" i="11" s="1"/>
  <c r="U28" i="11"/>
  <c r="V28" i="11" s="1"/>
  <c r="E28" i="11"/>
  <c r="Z27" i="11"/>
  <c r="AG27" i="11" s="1"/>
  <c r="U27" i="11"/>
  <c r="V27" i="11" s="1"/>
  <c r="E27" i="11"/>
  <c r="Y27" i="11" s="1"/>
  <c r="AF27" i="11" s="1"/>
  <c r="AM27" i="11" s="1"/>
  <c r="Z26" i="11"/>
  <c r="AG26" i="11" s="1"/>
  <c r="U26" i="11"/>
  <c r="V26" i="11" s="1"/>
  <c r="E26" i="11"/>
  <c r="Y26" i="11" s="1"/>
  <c r="AF26" i="11" s="1"/>
  <c r="AM26" i="11" s="1"/>
  <c r="Z25" i="11"/>
  <c r="AN25" i="11" s="1"/>
  <c r="U25" i="11"/>
  <c r="V25" i="11" s="1"/>
  <c r="E25" i="11"/>
  <c r="Y25" i="11" s="1"/>
  <c r="AF25" i="11" s="1"/>
  <c r="AM25" i="11" s="1"/>
  <c r="U22" i="11"/>
  <c r="V22" i="11" s="1"/>
  <c r="E22" i="11"/>
  <c r="U21" i="11"/>
  <c r="V21" i="11" s="1"/>
  <c r="E21" i="11"/>
  <c r="Z20" i="11"/>
  <c r="AG20" i="11" s="1"/>
  <c r="U20" i="11"/>
  <c r="V20" i="11" s="1"/>
  <c r="E20" i="11"/>
  <c r="Y20" i="11" s="1"/>
  <c r="AF20" i="11" s="1"/>
  <c r="AM20" i="11" s="1"/>
  <c r="Z19" i="11"/>
  <c r="AG19" i="11" s="1"/>
  <c r="U19" i="11"/>
  <c r="V19" i="11" s="1"/>
  <c r="E19" i="11"/>
  <c r="Y19" i="11" s="1"/>
  <c r="AF19" i="11" s="1"/>
  <c r="AM19" i="11" s="1"/>
  <c r="Z18" i="11"/>
  <c r="AG18" i="11" s="1"/>
  <c r="U18" i="11"/>
  <c r="V18" i="11" s="1"/>
  <c r="E18" i="11"/>
  <c r="Y18" i="11" s="1"/>
  <c r="AF18" i="11" s="1"/>
  <c r="AM18" i="11" s="1"/>
  <c r="Z17" i="11"/>
  <c r="AN17" i="11" s="1"/>
  <c r="U17" i="11"/>
  <c r="V17" i="11" s="1"/>
  <c r="E17" i="11"/>
  <c r="Y17" i="11" s="1"/>
  <c r="AF17" i="11" s="1"/>
  <c r="AM17" i="11" s="1"/>
  <c r="Z16" i="11"/>
  <c r="AG16" i="11" s="1"/>
  <c r="U16" i="11"/>
  <c r="V16" i="11" s="1"/>
  <c r="E16" i="11"/>
  <c r="Y16" i="11" s="1"/>
  <c r="AF16" i="11" s="1"/>
  <c r="AM16" i="11" s="1"/>
  <c r="Z15" i="11"/>
  <c r="U15" i="11"/>
  <c r="V15" i="11" s="1"/>
  <c r="E15" i="11"/>
  <c r="Y15" i="11" s="1"/>
  <c r="AF15" i="11" s="1"/>
  <c r="AM15" i="11" s="1"/>
  <c r="U12" i="11"/>
  <c r="V12" i="11" s="1"/>
  <c r="E12" i="11"/>
  <c r="U11" i="11"/>
  <c r="V11" i="11" s="1"/>
  <c r="E11" i="11"/>
  <c r="Z10" i="11"/>
  <c r="AG10" i="11" s="1"/>
  <c r="E10" i="11"/>
  <c r="Y10" i="11" s="1"/>
  <c r="AF10" i="11" s="1"/>
  <c r="AM10" i="11" s="1"/>
  <c r="AG9" i="11"/>
  <c r="Z9" i="11"/>
  <c r="AN9" i="11" s="1"/>
  <c r="E9" i="11"/>
  <c r="Z8" i="11"/>
  <c r="AG8" i="11" s="1"/>
  <c r="E8" i="11"/>
  <c r="Y8" i="11" s="1"/>
  <c r="AF8" i="11" s="1"/>
  <c r="AM8" i="11" s="1"/>
  <c r="Z7" i="11"/>
  <c r="AN7" i="11" s="1"/>
  <c r="E7" i="11"/>
  <c r="Y7" i="11" s="1"/>
  <c r="AF7" i="11" s="1"/>
  <c r="AM7" i="11" s="1"/>
  <c r="Z6" i="11"/>
  <c r="AG6" i="11" s="1"/>
  <c r="E6" i="11"/>
  <c r="Y6" i="11" s="1"/>
  <c r="AF6" i="11" s="1"/>
  <c r="AM6" i="11" s="1"/>
  <c r="Z5" i="11"/>
  <c r="AN5" i="11" s="1"/>
  <c r="E5" i="11"/>
  <c r="AG5" i="11" l="1"/>
  <c r="AN6" i="11"/>
  <c r="AG30" i="11"/>
  <c r="AG7" i="11"/>
  <c r="AG74" i="11"/>
  <c r="AN10" i="11"/>
  <c r="AN73" i="11"/>
  <c r="Y68" i="11"/>
  <c r="J76" i="11"/>
  <c r="AG52" i="11"/>
  <c r="AG50" i="11"/>
  <c r="AG48" i="11"/>
  <c r="Y5" i="11"/>
  <c r="AF5" i="11" s="1"/>
  <c r="AM5" i="11" s="1"/>
  <c r="AN8" i="11"/>
  <c r="Y9" i="11"/>
  <c r="AF9" i="11" s="1"/>
  <c r="AM9" i="11" s="1"/>
  <c r="AG15" i="11"/>
  <c r="AN15" i="11"/>
  <c r="AN16" i="11"/>
  <c r="AG17" i="11"/>
  <c r="AN20" i="11"/>
  <c r="AG25" i="11"/>
  <c r="AN28" i="11"/>
  <c r="AG29" i="11"/>
  <c r="AN19" i="11"/>
  <c r="AN27" i="11"/>
  <c r="Y28" i="11"/>
  <c r="AF28" i="11" s="1"/>
  <c r="AM28" i="11" s="1"/>
  <c r="AN35" i="11"/>
  <c r="AN18" i="11"/>
  <c r="AN26" i="11"/>
  <c r="AG36" i="11"/>
  <c r="AN36" i="11"/>
  <c r="AN37" i="11"/>
  <c r="AG38" i="11"/>
  <c r="AN45" i="11"/>
  <c r="AG46" i="11"/>
  <c r="AN49" i="11"/>
  <c r="AN51" i="11"/>
  <c r="AN55" i="11"/>
  <c r="AN40" i="11"/>
  <c r="AN39" i="11"/>
  <c r="AN47" i="11"/>
  <c r="AN56" i="11"/>
  <c r="AG57" i="11"/>
  <c r="AN60" i="11"/>
  <c r="Y65" i="11"/>
  <c r="Y69" i="11"/>
  <c r="AG75" i="11"/>
  <c r="AN59" i="11"/>
  <c r="AF67" i="11"/>
  <c r="AN58" i="11"/>
  <c r="AF66" i="11"/>
  <c r="AF70" i="11"/>
  <c r="Q2" i="8" l="1"/>
  <c r="Q5" i="8" l="1"/>
  <c r="Q4" i="8"/>
  <c r="Q3" i="8"/>
  <c r="B14" i="8"/>
  <c r="M3" i="8" s="1"/>
  <c r="H5" i="8"/>
  <c r="E5" i="8"/>
  <c r="D5" i="8"/>
  <c r="H4" i="8"/>
  <c r="H3" i="8"/>
  <c r="E4" i="8"/>
  <c r="E3" i="8"/>
  <c r="D4" i="8"/>
  <c r="D3" i="8"/>
  <c r="E2" i="8"/>
  <c r="D2" i="8"/>
  <c r="H2" i="8"/>
  <c r="N3" i="8" l="1"/>
  <c r="I5" i="8"/>
  <c r="J5" i="8" s="1"/>
  <c r="K5" i="8" s="1"/>
  <c r="L4" i="8"/>
  <c r="M4" i="8"/>
  <c r="N4" i="8" s="1"/>
  <c r="L2" i="8"/>
  <c r="L5" i="8"/>
  <c r="I3" i="8"/>
  <c r="J3" i="8" s="1"/>
  <c r="M2" i="8"/>
  <c r="N2" i="8" s="1"/>
  <c r="M5" i="8"/>
  <c r="I4" i="8"/>
  <c r="J4" i="8" s="1"/>
  <c r="K4" i="8" s="1"/>
  <c r="L3" i="8"/>
  <c r="I2" i="8"/>
  <c r="J2" i="8" s="1"/>
  <c r="K2" i="8" s="1"/>
  <c r="R2" i="8" l="1"/>
  <c r="O75" i="1"/>
  <c r="O4" i="8"/>
  <c r="P4" i="8" s="1"/>
  <c r="G75" i="2"/>
  <c r="O2" i="8"/>
  <c r="L75" i="1"/>
  <c r="R4" i="8"/>
  <c r="S4" i="8" s="1"/>
  <c r="J75" i="2"/>
  <c r="R5" i="8"/>
  <c r="J76" i="2"/>
  <c r="N5" i="8"/>
  <c r="E75" i="3"/>
  <c r="O3" i="8"/>
  <c r="P3" i="8" s="1"/>
  <c r="K3" i="8"/>
  <c r="P2" i="8"/>
  <c r="R3" i="8" l="1"/>
  <c r="S3" i="8" s="1"/>
  <c r="H75" i="3"/>
  <c r="G76" i="2"/>
  <c r="O5" i="8"/>
  <c r="P5" i="8" s="1"/>
  <c r="S2" i="8"/>
  <c r="AA76" i="3"/>
  <c r="AE76" i="3" s="1"/>
  <c r="AK75" i="1"/>
  <c r="AA75" i="3" s="1"/>
  <c r="AK70" i="1"/>
  <c r="AA70" i="3" s="1"/>
  <c r="AE70" i="3" s="1"/>
  <c r="AK69" i="1"/>
  <c r="AA69" i="3" s="1"/>
  <c r="AE69" i="3" s="1"/>
  <c r="AK68" i="1"/>
  <c r="AA68" i="3" s="1"/>
  <c r="AE68" i="3" s="1"/>
  <c r="AK67" i="1"/>
  <c r="AA67" i="3" s="1"/>
  <c r="AE67" i="3" s="1"/>
  <c r="AK66" i="1"/>
  <c r="AA66" i="3" s="1"/>
  <c r="AE66" i="3" s="1"/>
  <c r="AK65" i="1"/>
  <c r="AA65" i="3" s="1"/>
  <c r="AE65" i="3" s="1"/>
  <c r="AK62" i="1"/>
  <c r="AA62" i="3" s="1"/>
  <c r="AE62" i="3" s="1"/>
  <c r="AK61" i="1"/>
  <c r="AA61" i="3" s="1"/>
  <c r="AE61" i="3" s="1"/>
  <c r="AK60" i="1"/>
  <c r="AA60" i="3" s="1"/>
  <c r="AE60" i="3" s="1"/>
  <c r="AK59" i="1"/>
  <c r="AA59" i="3" s="1"/>
  <c r="AE59" i="3" s="1"/>
  <c r="AK58" i="1"/>
  <c r="AA58" i="3" s="1"/>
  <c r="AE58" i="3" s="1"/>
  <c r="AK57" i="1"/>
  <c r="AA57" i="3" s="1"/>
  <c r="AE57" i="3" s="1"/>
  <c r="AK56" i="1"/>
  <c r="AA56" i="3" s="1"/>
  <c r="AE56" i="3" s="1"/>
  <c r="AK55" i="1"/>
  <c r="AA55" i="3" s="1"/>
  <c r="AE55" i="3" s="1"/>
  <c r="AK52" i="1"/>
  <c r="AA52" i="3" s="1"/>
  <c r="AE52" i="3" s="1"/>
  <c r="AK51" i="1"/>
  <c r="AA51" i="3" s="1"/>
  <c r="AE51" i="3" s="1"/>
  <c r="AK50" i="1"/>
  <c r="AA50" i="3" s="1"/>
  <c r="AE50" i="3" s="1"/>
  <c r="AK49" i="1"/>
  <c r="AA49" i="3" s="1"/>
  <c r="AE49" i="3" s="1"/>
  <c r="AK48" i="1"/>
  <c r="AA48" i="3" s="1"/>
  <c r="AE48" i="3" s="1"/>
  <c r="AK47" i="1"/>
  <c r="AA47" i="3" s="1"/>
  <c r="AE47" i="3" s="1"/>
  <c r="AK46" i="1"/>
  <c r="AA46" i="3" s="1"/>
  <c r="AE46" i="3" s="1"/>
  <c r="AK45" i="1"/>
  <c r="AA45" i="3" s="1"/>
  <c r="AE45" i="3" s="1"/>
  <c r="AK42" i="1"/>
  <c r="AA42" i="3" s="1"/>
  <c r="AE42" i="3" s="1"/>
  <c r="AK41" i="1"/>
  <c r="AA41" i="3" s="1"/>
  <c r="AE41" i="3" s="1"/>
  <c r="AK40" i="1"/>
  <c r="AA40" i="3" s="1"/>
  <c r="AE40" i="3" s="1"/>
  <c r="AK39" i="1"/>
  <c r="AA39" i="3" s="1"/>
  <c r="AE39" i="3" s="1"/>
  <c r="AK38" i="1"/>
  <c r="AA38" i="3" s="1"/>
  <c r="AE38" i="3" s="1"/>
  <c r="AK37" i="1"/>
  <c r="AA37" i="3" s="1"/>
  <c r="AE37" i="3" s="1"/>
  <c r="AK36" i="1"/>
  <c r="AA36" i="3" s="1"/>
  <c r="AE36" i="3" s="1"/>
  <c r="AK35" i="1"/>
  <c r="AA35" i="3" s="1"/>
  <c r="AE35" i="3" s="1"/>
  <c r="AK32" i="1"/>
  <c r="AA32" i="3" s="1"/>
  <c r="AE32" i="3" s="1"/>
  <c r="AK31" i="1"/>
  <c r="AA31" i="3" s="1"/>
  <c r="AE31" i="3" s="1"/>
  <c r="AK30" i="1"/>
  <c r="AA30" i="3" s="1"/>
  <c r="AE30" i="3" s="1"/>
  <c r="AK29" i="1"/>
  <c r="AA29" i="3" s="1"/>
  <c r="AE29" i="3" s="1"/>
  <c r="AK28" i="1"/>
  <c r="AA28" i="3" s="1"/>
  <c r="AE28" i="3" s="1"/>
  <c r="AK27" i="1"/>
  <c r="AA27" i="3" s="1"/>
  <c r="AE27" i="3" s="1"/>
  <c r="AK26" i="1"/>
  <c r="AA26" i="3" s="1"/>
  <c r="AE26" i="3" s="1"/>
  <c r="AK25" i="1"/>
  <c r="AA25" i="3" s="1"/>
  <c r="AE25" i="3" s="1"/>
  <c r="AK22" i="1"/>
  <c r="AA22" i="3" s="1"/>
  <c r="AE22" i="3" s="1"/>
  <c r="AK21" i="1"/>
  <c r="AA21" i="3" s="1"/>
  <c r="AE21" i="3" s="1"/>
  <c r="AK20" i="1"/>
  <c r="AA20" i="3" s="1"/>
  <c r="AE20" i="3" s="1"/>
  <c r="AK19" i="1"/>
  <c r="AA19" i="3" s="1"/>
  <c r="AE19" i="3" s="1"/>
  <c r="AK18" i="1"/>
  <c r="AA18" i="3" s="1"/>
  <c r="AE18" i="3" s="1"/>
  <c r="AK17" i="1"/>
  <c r="AA17" i="3" s="1"/>
  <c r="AE17" i="3" s="1"/>
  <c r="AK16" i="1"/>
  <c r="AA16" i="3" s="1"/>
  <c r="AE16" i="3" s="1"/>
  <c r="AK15" i="1"/>
  <c r="AA15" i="3" s="1"/>
  <c r="AE15" i="3" s="1"/>
  <c r="AK12" i="1"/>
  <c r="AA12" i="3" s="1"/>
  <c r="AE12" i="3" s="1"/>
  <c r="AK11" i="1"/>
  <c r="AA11" i="3" s="1"/>
  <c r="AE11" i="3" s="1"/>
  <c r="AK10" i="1"/>
  <c r="AA10" i="3" s="1"/>
  <c r="AE10" i="3" s="1"/>
  <c r="AK9" i="1"/>
  <c r="AA9" i="3" s="1"/>
  <c r="AE9" i="3" s="1"/>
  <c r="AK8" i="1"/>
  <c r="AA8" i="3" s="1"/>
  <c r="AE8" i="3" s="1"/>
  <c r="AK7" i="1"/>
  <c r="AA7" i="3" s="1"/>
  <c r="AE7" i="3" s="1"/>
  <c r="AK6" i="1"/>
  <c r="AA6" i="3" s="1"/>
  <c r="AE6" i="3" s="1"/>
  <c r="AK5" i="1"/>
  <c r="AA5" i="3" s="1"/>
  <c r="AE5" i="3" s="1"/>
  <c r="W76" i="2"/>
  <c r="AA76" i="2" s="1"/>
  <c r="AH75" i="1"/>
  <c r="W75" i="2" s="1"/>
  <c r="AA75" i="2" s="1"/>
  <c r="AH70" i="1"/>
  <c r="W70" i="2" s="1"/>
  <c r="AA70" i="2" s="1"/>
  <c r="AH69" i="1"/>
  <c r="W69" i="2" s="1"/>
  <c r="AA69" i="2" s="1"/>
  <c r="AH68" i="1"/>
  <c r="W68" i="2" s="1"/>
  <c r="AA68" i="2" s="1"/>
  <c r="AH67" i="1"/>
  <c r="W67" i="2" s="1"/>
  <c r="AA67" i="2" s="1"/>
  <c r="AH66" i="1"/>
  <c r="W66" i="2" s="1"/>
  <c r="AA66" i="2" s="1"/>
  <c r="AH65" i="1"/>
  <c r="W65" i="2" s="1"/>
  <c r="AA65" i="2" s="1"/>
  <c r="AH62" i="1"/>
  <c r="W62" i="2" s="1"/>
  <c r="AH61" i="1"/>
  <c r="W61" i="2" s="1"/>
  <c r="AH60" i="1"/>
  <c r="W60" i="2" s="1"/>
  <c r="AH59" i="1"/>
  <c r="W59" i="2" s="1"/>
  <c r="AH58" i="1"/>
  <c r="W58" i="2" s="1"/>
  <c r="AH57" i="1"/>
  <c r="W57" i="2" s="1"/>
  <c r="AH56" i="1"/>
  <c r="W56" i="2" s="1"/>
  <c r="AH55" i="1"/>
  <c r="W55" i="2" s="1"/>
  <c r="AH52" i="1"/>
  <c r="W52" i="2" s="1"/>
  <c r="AH51" i="1"/>
  <c r="W51" i="2" s="1"/>
  <c r="AH50" i="1"/>
  <c r="W50" i="2" s="1"/>
  <c r="AH49" i="1"/>
  <c r="W49" i="2" s="1"/>
  <c r="AH48" i="1"/>
  <c r="W48" i="2" s="1"/>
  <c r="AH47" i="1"/>
  <c r="W47" i="2" s="1"/>
  <c r="AH46" i="1"/>
  <c r="W46" i="2" s="1"/>
  <c r="AH45" i="1"/>
  <c r="W45" i="2" s="1"/>
  <c r="AH42" i="1"/>
  <c r="W42" i="2" s="1"/>
  <c r="AH41" i="1"/>
  <c r="W41" i="2" s="1"/>
  <c r="AH40" i="1"/>
  <c r="W40" i="2" s="1"/>
  <c r="AH39" i="1"/>
  <c r="W39" i="2" s="1"/>
  <c r="AH38" i="1"/>
  <c r="W38" i="2" s="1"/>
  <c r="AH37" i="1"/>
  <c r="W37" i="2" s="1"/>
  <c r="AH36" i="1"/>
  <c r="W36" i="2" s="1"/>
  <c r="AH35" i="1"/>
  <c r="W35" i="2" s="1"/>
  <c r="AH32" i="1"/>
  <c r="W32" i="2" s="1"/>
  <c r="AH31" i="1"/>
  <c r="W31" i="2" s="1"/>
  <c r="AH30" i="1"/>
  <c r="W30" i="2" s="1"/>
  <c r="AH29" i="1"/>
  <c r="W29" i="2" s="1"/>
  <c r="AH28" i="1"/>
  <c r="W28" i="2" s="1"/>
  <c r="AH27" i="1"/>
  <c r="W27" i="2" s="1"/>
  <c r="AH26" i="1"/>
  <c r="W26" i="2" s="1"/>
  <c r="AH25" i="1"/>
  <c r="W25" i="2" s="1"/>
  <c r="AH22" i="1"/>
  <c r="W22" i="2" s="1"/>
  <c r="AH21" i="1"/>
  <c r="W21" i="2" s="1"/>
  <c r="AH20" i="1"/>
  <c r="W20" i="2" s="1"/>
  <c r="AH19" i="1"/>
  <c r="W19" i="2" s="1"/>
  <c r="AH18" i="1"/>
  <c r="W18" i="2" s="1"/>
  <c r="AH17" i="1"/>
  <c r="W17" i="2" s="1"/>
  <c r="AH16" i="1"/>
  <c r="W16" i="2" s="1"/>
  <c r="AH15" i="1"/>
  <c r="W15" i="2" s="1"/>
  <c r="AH12" i="1"/>
  <c r="R12" i="4" s="1"/>
  <c r="V12" i="4" s="1"/>
  <c r="AH11" i="1"/>
  <c r="R11" i="4" s="1"/>
  <c r="V11" i="4" s="1"/>
  <c r="AH10" i="1"/>
  <c r="R10" i="4" s="1"/>
  <c r="V10" i="4" s="1"/>
  <c r="AH9" i="1"/>
  <c r="W9" i="2" s="1"/>
  <c r="AH8" i="1"/>
  <c r="R8" i="4" s="1"/>
  <c r="V8" i="4" s="1"/>
  <c r="AH7" i="1"/>
  <c r="R7" i="4" s="1"/>
  <c r="V7" i="4" s="1"/>
  <c r="AH6" i="1"/>
  <c r="R6" i="4" s="1"/>
  <c r="V6" i="4" s="1"/>
  <c r="AH5" i="1"/>
  <c r="W5" i="2" s="1"/>
  <c r="S5" i="8" l="1"/>
  <c r="AE75" i="3"/>
  <c r="M35" i="1"/>
  <c r="M28" i="1"/>
  <c r="M17" i="1"/>
  <c r="M20" i="1"/>
  <c r="M37" i="1"/>
  <c r="M38" i="1"/>
  <c r="M74" i="1"/>
  <c r="M29" i="1"/>
  <c r="M22" i="1"/>
  <c r="M30" i="1"/>
  <c r="M15" i="1"/>
  <c r="M16" i="1"/>
  <c r="M24" i="1" s="1"/>
  <c r="M42" i="1"/>
  <c r="M73" i="1"/>
  <c r="M40" i="1"/>
  <c r="M25" i="1"/>
  <c r="M26" i="1"/>
  <c r="M31" i="1"/>
  <c r="M36" i="1"/>
  <c r="M19" i="1"/>
  <c r="M41" i="1"/>
  <c r="M27" i="1"/>
  <c r="M39" i="1"/>
  <c r="M32" i="1"/>
  <c r="M21" i="1"/>
  <c r="M18" i="1"/>
  <c r="W11" i="2"/>
  <c r="W12" i="2"/>
  <c r="W10" i="2"/>
  <c r="R9" i="4"/>
  <c r="V9" i="4" s="1"/>
  <c r="W8" i="2"/>
  <c r="W7" i="2"/>
  <c r="W6" i="2"/>
  <c r="R5" i="4"/>
  <c r="V5" i="4" s="1"/>
  <c r="M44" i="1" l="1"/>
  <c r="M34" i="1"/>
  <c r="M43" i="1"/>
  <c r="N44" i="1"/>
  <c r="M33" i="1"/>
  <c r="Z24" i="1"/>
  <c r="N24" i="1"/>
  <c r="AA24" i="1" s="1"/>
  <c r="M23" i="1"/>
  <c r="V52" i="1"/>
  <c r="E52" i="11" s="1"/>
  <c r="V51" i="1"/>
  <c r="E51" i="11" s="1"/>
  <c r="V50" i="1"/>
  <c r="E50" i="11" s="1"/>
  <c r="Y50" i="11" s="1"/>
  <c r="AF50" i="11" s="1"/>
  <c r="AM50" i="11" s="1"/>
  <c r="V49" i="1"/>
  <c r="E49" i="11" s="1"/>
  <c r="Y49" i="11" s="1"/>
  <c r="AF49" i="11" s="1"/>
  <c r="AM49" i="11" s="1"/>
  <c r="V48" i="1"/>
  <c r="E48" i="11" s="1"/>
  <c r="Y48" i="11" s="1"/>
  <c r="AF48" i="11" s="1"/>
  <c r="AM48" i="11" s="1"/>
  <c r="V47" i="1"/>
  <c r="E47" i="11" s="1"/>
  <c r="Y47" i="11" s="1"/>
  <c r="AF47" i="11" s="1"/>
  <c r="AM47" i="11" s="1"/>
  <c r="V46" i="1"/>
  <c r="E46" i="11" s="1"/>
  <c r="Y46" i="11" s="1"/>
  <c r="AF46" i="11" s="1"/>
  <c r="AM46" i="11" s="1"/>
  <c r="V45" i="1"/>
  <c r="E45" i="11" s="1"/>
  <c r="Y45" i="11" s="1"/>
  <c r="AF45" i="11" s="1"/>
  <c r="AM45" i="11" s="1"/>
  <c r="I74" i="1"/>
  <c r="E74" i="11" s="1"/>
  <c r="Y74" i="11" s="1"/>
  <c r="AF74" i="11" s="1"/>
  <c r="AM74" i="11" s="1"/>
  <c r="I73" i="1"/>
  <c r="E73" i="11" s="1"/>
  <c r="Y73" i="11" s="1"/>
  <c r="AF73" i="11" s="1"/>
  <c r="AM73" i="11" s="1"/>
  <c r="G40" i="2"/>
  <c r="H40" i="2" s="1"/>
  <c r="G39" i="2"/>
  <c r="H39" i="2" s="1"/>
  <c r="G38" i="2"/>
  <c r="H38" i="2" s="1"/>
  <c r="G37" i="2"/>
  <c r="H37" i="2" s="1"/>
  <c r="G36" i="2"/>
  <c r="G35" i="2"/>
  <c r="G30" i="2"/>
  <c r="H30" i="2" s="1"/>
  <c r="G29" i="2"/>
  <c r="H29" i="2" s="1"/>
  <c r="G28" i="2"/>
  <c r="H28" i="2" s="1"/>
  <c r="G27" i="2"/>
  <c r="H27" i="2" s="1"/>
  <c r="G26" i="2"/>
  <c r="G25" i="2"/>
  <c r="G20" i="2"/>
  <c r="H20" i="2" s="1"/>
  <c r="G19" i="2"/>
  <c r="H19" i="2" s="1"/>
  <c r="G18" i="2"/>
  <c r="H18" i="2" s="1"/>
  <c r="G17" i="2"/>
  <c r="H17" i="2" s="1"/>
  <c r="G15" i="2"/>
  <c r="G16" i="2"/>
  <c r="G74" i="2"/>
  <c r="H74" i="2" s="1"/>
  <c r="G73" i="2"/>
  <c r="H73" i="2" s="1"/>
  <c r="Z23" i="1" l="1"/>
  <c r="N23" i="1"/>
  <c r="AA23" i="1" s="1"/>
  <c r="I24" i="11"/>
  <c r="AC24" i="1"/>
  <c r="N43" i="1"/>
  <c r="G33" i="2"/>
  <c r="H25" i="2"/>
  <c r="H33" i="2" s="1"/>
  <c r="G34" i="2"/>
  <c r="H26" i="2"/>
  <c r="H34" i="2" s="1"/>
  <c r="Z34" i="1"/>
  <c r="N34" i="1"/>
  <c r="AA34" i="1" s="1"/>
  <c r="G43" i="2"/>
  <c r="H35" i="2"/>
  <c r="H43" i="2" s="1"/>
  <c r="G44" i="2"/>
  <c r="H36" i="2"/>
  <c r="H44" i="2" s="1"/>
  <c r="G24" i="2"/>
  <c r="H16" i="2"/>
  <c r="H24" i="2" s="1"/>
  <c r="G23" i="2"/>
  <c r="H15" i="2"/>
  <c r="H23" i="2" s="1"/>
  <c r="Z33" i="1"/>
  <c r="N33" i="1"/>
  <c r="AA33" i="1" s="1"/>
  <c r="Z75" i="1"/>
  <c r="I75" i="11" s="1"/>
  <c r="Y75" i="1"/>
  <c r="H75" i="11" s="1"/>
  <c r="X75" i="1"/>
  <c r="W75" i="1"/>
  <c r="U75" i="1"/>
  <c r="T75" i="1"/>
  <c r="S75" i="1"/>
  <c r="R75" i="1"/>
  <c r="Q75" i="1"/>
  <c r="P75" i="1"/>
  <c r="N75" i="1"/>
  <c r="AA75" i="1" s="1"/>
  <c r="I44" i="2" l="1"/>
  <c r="I43" i="2"/>
  <c r="I33" i="2"/>
  <c r="I23" i="2"/>
  <c r="I34" i="11"/>
  <c r="AC34" i="1"/>
  <c r="J24" i="11"/>
  <c r="I33" i="11"/>
  <c r="AC33" i="1"/>
  <c r="I24" i="2"/>
  <c r="I34" i="2"/>
  <c r="I23" i="11"/>
  <c r="AC23" i="1"/>
  <c r="G75" i="11"/>
  <c r="D75" i="11"/>
  <c r="AC75" i="1"/>
  <c r="AB75" i="1"/>
  <c r="I10" i="4"/>
  <c r="H60" i="4"/>
  <c r="H59" i="4"/>
  <c r="H58" i="4"/>
  <c r="H57" i="4"/>
  <c r="H56" i="4"/>
  <c r="H55" i="4"/>
  <c r="H50" i="4"/>
  <c r="H49" i="4"/>
  <c r="H48" i="4"/>
  <c r="H47" i="4"/>
  <c r="H46" i="4"/>
  <c r="H45" i="4"/>
  <c r="H10" i="4"/>
  <c r="H9" i="4"/>
  <c r="H8" i="4"/>
  <c r="H7" i="4"/>
  <c r="H6" i="4"/>
  <c r="H5" i="4"/>
  <c r="G60" i="4"/>
  <c r="G59" i="4"/>
  <c r="G58" i="4"/>
  <c r="U58" i="11" s="1"/>
  <c r="V58" i="11" s="1"/>
  <c r="G57" i="4"/>
  <c r="U57" i="11" s="1"/>
  <c r="V57" i="11" s="1"/>
  <c r="G56" i="4"/>
  <c r="U56" i="11" s="1"/>
  <c r="V56" i="11" s="1"/>
  <c r="G55" i="4"/>
  <c r="U55" i="11" s="1"/>
  <c r="V55" i="11" s="1"/>
  <c r="G50" i="4"/>
  <c r="U50" i="11" s="1"/>
  <c r="V50" i="11" s="1"/>
  <c r="G49" i="4"/>
  <c r="G48" i="4"/>
  <c r="G47" i="4"/>
  <c r="G46" i="4"/>
  <c r="U46" i="11" s="1"/>
  <c r="V46" i="11" s="1"/>
  <c r="G45" i="4"/>
  <c r="U45" i="11" s="1"/>
  <c r="V45" i="11" s="1"/>
  <c r="G10" i="4"/>
  <c r="J10" i="4" s="1"/>
  <c r="G9" i="4"/>
  <c r="G7" i="4"/>
  <c r="G6" i="4"/>
  <c r="G5" i="4"/>
  <c r="G8" i="4"/>
  <c r="F74" i="4"/>
  <c r="G74" i="4" s="1"/>
  <c r="F73" i="4"/>
  <c r="G73" i="4" s="1"/>
  <c r="E74" i="4"/>
  <c r="I74" i="4" s="1"/>
  <c r="E73" i="4"/>
  <c r="I73" i="4" s="1"/>
  <c r="E60" i="4"/>
  <c r="I60" i="4" s="1"/>
  <c r="E59" i="4"/>
  <c r="I59" i="4" s="1"/>
  <c r="E58" i="4"/>
  <c r="I58" i="4" s="1"/>
  <c r="E57" i="4"/>
  <c r="I57" i="4" s="1"/>
  <c r="E56" i="4"/>
  <c r="I56" i="4" s="1"/>
  <c r="E55" i="4"/>
  <c r="I55" i="4" s="1"/>
  <c r="E50" i="4"/>
  <c r="I50" i="4" s="1"/>
  <c r="E49" i="4"/>
  <c r="I49" i="4" s="1"/>
  <c r="E48" i="4"/>
  <c r="I48" i="4" s="1"/>
  <c r="E47" i="4"/>
  <c r="I47" i="4" s="1"/>
  <c r="E46" i="4"/>
  <c r="I46" i="4" s="1"/>
  <c r="E45" i="4"/>
  <c r="I45" i="4" s="1"/>
  <c r="E10" i="4"/>
  <c r="E9" i="4"/>
  <c r="I9" i="4" s="1"/>
  <c r="E8" i="4"/>
  <c r="I8" i="4" s="1"/>
  <c r="E7" i="4"/>
  <c r="I7" i="4" s="1"/>
  <c r="E6" i="4"/>
  <c r="I6" i="4" s="1"/>
  <c r="E5" i="4"/>
  <c r="I5" i="4" s="1"/>
  <c r="J73" i="4" l="1"/>
  <c r="H73" i="4"/>
  <c r="H74" i="4"/>
  <c r="J74" i="4" s="1"/>
  <c r="J34" i="11"/>
  <c r="U59" i="11"/>
  <c r="V59" i="11" s="1"/>
  <c r="J23" i="11"/>
  <c r="U48" i="11"/>
  <c r="V48" i="11" s="1"/>
  <c r="U60" i="11"/>
  <c r="V60" i="11" s="1"/>
  <c r="J6" i="4"/>
  <c r="U49" i="11"/>
  <c r="V49" i="11" s="1"/>
  <c r="U47" i="11"/>
  <c r="V47" i="11" s="1"/>
  <c r="J33" i="11"/>
  <c r="J7" i="4"/>
  <c r="J75" i="11"/>
  <c r="J60" i="4"/>
  <c r="J59" i="4"/>
  <c r="J58" i="4"/>
  <c r="J57" i="4"/>
  <c r="J56" i="4"/>
  <c r="J55" i="4"/>
  <c r="J50" i="4"/>
  <c r="J49" i="4"/>
  <c r="J48" i="4"/>
  <c r="J47" i="4"/>
  <c r="J46" i="4"/>
  <c r="J45" i="4"/>
  <c r="J9" i="4"/>
  <c r="J8" i="4"/>
  <c r="J5" i="4"/>
  <c r="W15" i="3"/>
  <c r="E74" i="3"/>
  <c r="F74" i="3" s="1"/>
  <c r="E73" i="3"/>
  <c r="E40" i="3"/>
  <c r="F40" i="3" s="1"/>
  <c r="E39" i="3"/>
  <c r="F39" i="3" s="1"/>
  <c r="E38" i="3"/>
  <c r="F38" i="3" s="1"/>
  <c r="E37" i="3"/>
  <c r="F37" i="3" s="1"/>
  <c r="E36" i="3"/>
  <c r="E35" i="3"/>
  <c r="E30" i="3"/>
  <c r="F30" i="3" s="1"/>
  <c r="E29" i="3"/>
  <c r="F29" i="3" s="1"/>
  <c r="E28" i="3"/>
  <c r="F28" i="3" s="1"/>
  <c r="E27" i="3"/>
  <c r="F27" i="3" s="1"/>
  <c r="E26" i="3"/>
  <c r="E25" i="3"/>
  <c r="E20" i="3"/>
  <c r="F20" i="3" s="1"/>
  <c r="E19" i="3"/>
  <c r="F19" i="3" s="1"/>
  <c r="E18" i="3"/>
  <c r="F18" i="3" s="1"/>
  <c r="E17" i="3"/>
  <c r="F17" i="3" s="1"/>
  <c r="E16" i="3"/>
  <c r="E15" i="3"/>
  <c r="E44" i="3" l="1"/>
  <c r="F36" i="3"/>
  <c r="F44" i="3" s="1"/>
  <c r="L44" i="3" s="1"/>
  <c r="S44" i="11" s="1"/>
  <c r="E33" i="3"/>
  <c r="F25" i="3"/>
  <c r="F33" i="3" s="1"/>
  <c r="L33" i="3" s="1"/>
  <c r="S33" i="11" s="1"/>
  <c r="E34" i="3"/>
  <c r="F26" i="3"/>
  <c r="F34" i="3" s="1"/>
  <c r="L34" i="3" s="1"/>
  <c r="S34" i="11" s="1"/>
  <c r="E23" i="3"/>
  <c r="F15" i="3"/>
  <c r="F23" i="3" s="1"/>
  <c r="L23" i="3" s="1"/>
  <c r="S23" i="11" s="1"/>
  <c r="E43" i="3"/>
  <c r="F35" i="3"/>
  <c r="F43" i="3" s="1"/>
  <c r="L43" i="3" s="1"/>
  <c r="S43" i="11" s="1"/>
  <c r="E24" i="3"/>
  <c r="F16" i="3"/>
  <c r="F24" i="3" s="1"/>
  <c r="L24" i="3" s="1"/>
  <c r="S24" i="11" s="1"/>
  <c r="K73" i="3"/>
  <c r="R73" i="11" s="1"/>
  <c r="F73" i="3"/>
  <c r="L73" i="3" s="1"/>
  <c r="O73" i="3" s="1"/>
  <c r="O76" i="3"/>
  <c r="O41" i="3"/>
  <c r="O31" i="3"/>
  <c r="O22" i="3"/>
  <c r="O21" i="3"/>
  <c r="N68" i="3"/>
  <c r="N62" i="3"/>
  <c r="N31" i="3"/>
  <c r="L50" i="3"/>
  <c r="S50" i="11" s="1"/>
  <c r="L49" i="3"/>
  <c r="L48" i="3"/>
  <c r="S48" i="11" s="1"/>
  <c r="L47" i="3"/>
  <c r="L46" i="3"/>
  <c r="S46" i="11" s="1"/>
  <c r="L45" i="3"/>
  <c r="K50" i="3"/>
  <c r="R50" i="11" s="1"/>
  <c r="K49" i="3"/>
  <c r="R49" i="11" s="1"/>
  <c r="K48" i="3"/>
  <c r="R48" i="11" s="1"/>
  <c r="K47" i="3"/>
  <c r="R47" i="11" s="1"/>
  <c r="K46" i="3"/>
  <c r="R46" i="11" s="1"/>
  <c r="K45" i="3"/>
  <c r="R45" i="11" s="1"/>
  <c r="J50" i="3"/>
  <c r="Q50" i="11" s="1"/>
  <c r="J49" i="3"/>
  <c r="Q49" i="11" s="1"/>
  <c r="J48" i="3"/>
  <c r="Q48" i="11" s="1"/>
  <c r="J47" i="3"/>
  <c r="Q47" i="11" s="1"/>
  <c r="J46" i="3"/>
  <c r="Q46" i="11" s="1"/>
  <c r="J45" i="3"/>
  <c r="Q45" i="11" s="1"/>
  <c r="I50" i="3"/>
  <c r="I49" i="3"/>
  <c r="I48" i="3"/>
  <c r="P48" i="11" s="1"/>
  <c r="T48" i="11" s="1"/>
  <c r="I47" i="3"/>
  <c r="I46" i="3"/>
  <c r="I45" i="3"/>
  <c r="G50" i="3"/>
  <c r="M50" i="3" s="1"/>
  <c r="G49" i="3"/>
  <c r="M49" i="3" s="1"/>
  <c r="G48" i="3"/>
  <c r="M48" i="3" s="1"/>
  <c r="G47" i="3"/>
  <c r="M47" i="3" s="1"/>
  <c r="G46" i="3"/>
  <c r="M46" i="3" s="1"/>
  <c r="G45" i="3"/>
  <c r="M45" i="3" s="1"/>
  <c r="M11" i="3"/>
  <c r="L76" i="3"/>
  <c r="S76" i="11" s="1"/>
  <c r="L75" i="3"/>
  <c r="S75" i="11" s="1"/>
  <c r="L74" i="3"/>
  <c r="S74" i="11" s="1"/>
  <c r="L70" i="3"/>
  <c r="S70" i="11" s="1"/>
  <c r="L69" i="3"/>
  <c r="S69" i="11" s="1"/>
  <c r="L68" i="3"/>
  <c r="S68" i="11" s="1"/>
  <c r="L67" i="3"/>
  <c r="S67" i="11" s="1"/>
  <c r="L66" i="3"/>
  <c r="S66" i="11" s="1"/>
  <c r="L65" i="3"/>
  <c r="S65" i="11" s="1"/>
  <c r="L62" i="3"/>
  <c r="S62" i="11" s="1"/>
  <c r="L61" i="3"/>
  <c r="S61" i="11" s="1"/>
  <c r="L60" i="3"/>
  <c r="S60" i="11" s="1"/>
  <c r="L59" i="3"/>
  <c r="S59" i="11" s="1"/>
  <c r="L58" i="3"/>
  <c r="S58" i="11" s="1"/>
  <c r="L57" i="3"/>
  <c r="S57" i="11" s="1"/>
  <c r="L56" i="3"/>
  <c r="S56" i="11" s="1"/>
  <c r="L55" i="3"/>
  <c r="S55" i="11" s="1"/>
  <c r="L52" i="3"/>
  <c r="S52" i="11" s="1"/>
  <c r="L51" i="3"/>
  <c r="S51" i="11" s="1"/>
  <c r="L42" i="3"/>
  <c r="S42" i="11" s="1"/>
  <c r="L41" i="3"/>
  <c r="S41" i="11" s="1"/>
  <c r="L40" i="3"/>
  <c r="S40" i="11" s="1"/>
  <c r="L39" i="3"/>
  <c r="S39" i="11" s="1"/>
  <c r="L38" i="3"/>
  <c r="S38" i="11" s="1"/>
  <c r="L37" i="3"/>
  <c r="S37" i="11" s="1"/>
  <c r="L36" i="3"/>
  <c r="S36" i="11" s="1"/>
  <c r="L32" i="3"/>
  <c r="S32" i="11" s="1"/>
  <c r="L31" i="3"/>
  <c r="S31" i="11" s="1"/>
  <c r="L30" i="3"/>
  <c r="S30" i="11" s="1"/>
  <c r="L29" i="3"/>
  <c r="S29" i="11" s="1"/>
  <c r="L28" i="3"/>
  <c r="S28" i="11" s="1"/>
  <c r="L27" i="3"/>
  <c r="S27" i="11" s="1"/>
  <c r="L26" i="3"/>
  <c r="S26" i="11" s="1"/>
  <c r="L25" i="3"/>
  <c r="S25" i="11" s="1"/>
  <c r="L22" i="3"/>
  <c r="S22" i="11" s="1"/>
  <c r="L21" i="3"/>
  <c r="S21" i="11" s="1"/>
  <c r="L20" i="3"/>
  <c r="S20" i="11" s="1"/>
  <c r="L19" i="3"/>
  <c r="S19" i="11" s="1"/>
  <c r="L18" i="3"/>
  <c r="S18" i="11" s="1"/>
  <c r="L17" i="3"/>
  <c r="S17" i="11" s="1"/>
  <c r="L16" i="3"/>
  <c r="S16" i="11" s="1"/>
  <c r="L15" i="3"/>
  <c r="S15" i="11" s="1"/>
  <c r="L12" i="3"/>
  <c r="S12" i="11" s="1"/>
  <c r="L11" i="3"/>
  <c r="S11" i="11" s="1"/>
  <c r="L10" i="3"/>
  <c r="S10" i="11" s="1"/>
  <c r="L9" i="3"/>
  <c r="S9" i="11" s="1"/>
  <c r="L8" i="3"/>
  <c r="S8" i="11" s="1"/>
  <c r="L7" i="3"/>
  <c r="S7" i="11" s="1"/>
  <c r="L6" i="3"/>
  <c r="S6" i="11" s="1"/>
  <c r="L5" i="3"/>
  <c r="S5" i="11" s="1"/>
  <c r="K76" i="3"/>
  <c r="R76" i="11" s="1"/>
  <c r="K75" i="3"/>
  <c r="R75" i="11" s="1"/>
  <c r="K74" i="3"/>
  <c r="R74" i="11" s="1"/>
  <c r="K70" i="3"/>
  <c r="R70" i="11" s="1"/>
  <c r="K69" i="3"/>
  <c r="R69" i="11" s="1"/>
  <c r="K68" i="3"/>
  <c r="R68" i="11" s="1"/>
  <c r="K67" i="3"/>
  <c r="R67" i="11" s="1"/>
  <c r="K66" i="3"/>
  <c r="R66" i="11" s="1"/>
  <c r="K65" i="3"/>
  <c r="R65" i="11" s="1"/>
  <c r="K62" i="3"/>
  <c r="R62" i="11" s="1"/>
  <c r="K61" i="3"/>
  <c r="R61" i="11" s="1"/>
  <c r="K60" i="3"/>
  <c r="R60" i="11" s="1"/>
  <c r="K59" i="3"/>
  <c r="R59" i="11" s="1"/>
  <c r="K58" i="3"/>
  <c r="R58" i="11" s="1"/>
  <c r="K57" i="3"/>
  <c r="R57" i="11" s="1"/>
  <c r="K56" i="3"/>
  <c r="R56" i="11" s="1"/>
  <c r="K55" i="3"/>
  <c r="R55" i="11" s="1"/>
  <c r="K52" i="3"/>
  <c r="R52" i="11" s="1"/>
  <c r="K51" i="3"/>
  <c r="R51" i="11" s="1"/>
  <c r="K42" i="3"/>
  <c r="R42" i="11" s="1"/>
  <c r="K41" i="3"/>
  <c r="R41" i="11" s="1"/>
  <c r="K40" i="3"/>
  <c r="R40" i="11" s="1"/>
  <c r="K39" i="3"/>
  <c r="R39" i="11" s="1"/>
  <c r="K38" i="3"/>
  <c r="R38" i="11" s="1"/>
  <c r="K37" i="3"/>
  <c r="K36" i="3"/>
  <c r="R36" i="11" s="1"/>
  <c r="K35" i="3"/>
  <c r="K32" i="3"/>
  <c r="R32" i="11" s="1"/>
  <c r="K31" i="3"/>
  <c r="R31" i="11" s="1"/>
  <c r="K30" i="3"/>
  <c r="R30" i="11" s="1"/>
  <c r="K29" i="3"/>
  <c r="R29" i="11" s="1"/>
  <c r="K28" i="3"/>
  <c r="R28" i="11" s="1"/>
  <c r="K27" i="3"/>
  <c r="K26" i="3"/>
  <c r="R26" i="11" s="1"/>
  <c r="K25" i="3"/>
  <c r="R25" i="11" s="1"/>
  <c r="K22" i="3"/>
  <c r="R22" i="11" s="1"/>
  <c r="K21" i="3"/>
  <c r="R21" i="11" s="1"/>
  <c r="K20" i="3"/>
  <c r="R20" i="11" s="1"/>
  <c r="K19" i="3"/>
  <c r="R19" i="11" s="1"/>
  <c r="K18" i="3"/>
  <c r="R18" i="11" s="1"/>
  <c r="K17" i="3"/>
  <c r="K16" i="3"/>
  <c r="R16" i="11" s="1"/>
  <c r="K15" i="3"/>
  <c r="R15" i="11" s="1"/>
  <c r="K12" i="3"/>
  <c r="R12" i="11" s="1"/>
  <c r="K11" i="3"/>
  <c r="R11" i="11" s="1"/>
  <c r="K10" i="3"/>
  <c r="R10" i="11" s="1"/>
  <c r="K9" i="3"/>
  <c r="R9" i="11" s="1"/>
  <c r="K8" i="3"/>
  <c r="R8" i="11" s="1"/>
  <c r="K7" i="3"/>
  <c r="R7" i="11" s="1"/>
  <c r="K6" i="3"/>
  <c r="R6" i="11" s="1"/>
  <c r="K5" i="3"/>
  <c r="R5" i="11" s="1"/>
  <c r="J76" i="3"/>
  <c r="Q76" i="11" s="1"/>
  <c r="J75" i="3"/>
  <c r="Q75" i="11" s="1"/>
  <c r="J74" i="3"/>
  <c r="Q73" i="11"/>
  <c r="J70" i="3"/>
  <c r="Q70" i="11" s="1"/>
  <c r="J69" i="3"/>
  <c r="Q69" i="11" s="1"/>
  <c r="J68" i="3"/>
  <c r="Q68" i="11" s="1"/>
  <c r="J67" i="3"/>
  <c r="Q67" i="11" s="1"/>
  <c r="J66" i="3"/>
  <c r="Q66" i="11" s="1"/>
  <c r="J65" i="3"/>
  <c r="Q65" i="11" s="1"/>
  <c r="J62" i="3"/>
  <c r="Q62" i="11" s="1"/>
  <c r="J61" i="3"/>
  <c r="Q61" i="11" s="1"/>
  <c r="J60" i="3"/>
  <c r="Q60" i="11" s="1"/>
  <c r="J59" i="3"/>
  <c r="Q59" i="11" s="1"/>
  <c r="J58" i="3"/>
  <c r="Q58" i="11" s="1"/>
  <c r="J57" i="3"/>
  <c r="Q57" i="11" s="1"/>
  <c r="J56" i="3"/>
  <c r="Q56" i="11" s="1"/>
  <c r="J55" i="3"/>
  <c r="Q55" i="11" s="1"/>
  <c r="J52" i="3"/>
  <c r="Q52" i="11" s="1"/>
  <c r="J51" i="3"/>
  <c r="Q51" i="11" s="1"/>
  <c r="J42" i="3"/>
  <c r="Q42" i="11" s="1"/>
  <c r="J41" i="3"/>
  <c r="Q41" i="11" s="1"/>
  <c r="J40" i="3"/>
  <c r="J39" i="3"/>
  <c r="J38" i="3"/>
  <c r="Q38" i="11" s="1"/>
  <c r="J37" i="3"/>
  <c r="J36" i="3"/>
  <c r="J35" i="3"/>
  <c r="J32" i="3"/>
  <c r="Q32" i="11" s="1"/>
  <c r="J31" i="3"/>
  <c r="Q31" i="11" s="1"/>
  <c r="J30" i="3"/>
  <c r="Q30" i="11" s="1"/>
  <c r="J29" i="3"/>
  <c r="J28" i="3"/>
  <c r="Q28" i="11" s="1"/>
  <c r="J27" i="3"/>
  <c r="Q27" i="11" s="1"/>
  <c r="J26" i="3"/>
  <c r="Q26" i="11" s="1"/>
  <c r="J25" i="3"/>
  <c r="Q25" i="11" s="1"/>
  <c r="J22" i="3"/>
  <c r="Q22" i="11" s="1"/>
  <c r="J21" i="3"/>
  <c r="Q21" i="11" s="1"/>
  <c r="J20" i="3"/>
  <c r="J19" i="3"/>
  <c r="Q19" i="11" s="1"/>
  <c r="J18" i="3"/>
  <c r="Q18" i="11" s="1"/>
  <c r="J17" i="3"/>
  <c r="J16" i="3"/>
  <c r="Q16" i="11" s="1"/>
  <c r="J15" i="3"/>
  <c r="Q15" i="11" s="1"/>
  <c r="J12" i="3"/>
  <c r="Q12" i="11" s="1"/>
  <c r="J11" i="3"/>
  <c r="Q11" i="11" s="1"/>
  <c r="J10" i="3"/>
  <c r="Q10" i="11" s="1"/>
  <c r="J9" i="3"/>
  <c r="Q9" i="11" s="1"/>
  <c r="J8" i="3"/>
  <c r="Q8" i="11" s="1"/>
  <c r="J7" i="3"/>
  <c r="Q7" i="11" s="1"/>
  <c r="J6" i="3"/>
  <c r="Q6" i="11" s="1"/>
  <c r="J5" i="3"/>
  <c r="Q5" i="11" s="1"/>
  <c r="I76" i="3"/>
  <c r="P76" i="11" s="1"/>
  <c r="T76" i="11" s="1"/>
  <c r="I75" i="3"/>
  <c r="I74" i="3"/>
  <c r="I70" i="3"/>
  <c r="P70" i="11" s="1"/>
  <c r="I69" i="3"/>
  <c r="P69" i="11" s="1"/>
  <c r="T69" i="11" s="1"/>
  <c r="I68" i="3"/>
  <c r="P68" i="11" s="1"/>
  <c r="I67" i="3"/>
  <c r="P67" i="11" s="1"/>
  <c r="I66" i="3"/>
  <c r="P66" i="11" s="1"/>
  <c r="I65" i="3"/>
  <c r="P65" i="11" s="1"/>
  <c r="T65" i="11" s="1"/>
  <c r="I62" i="3"/>
  <c r="P62" i="11" s="1"/>
  <c r="I61" i="3"/>
  <c r="P61" i="11" s="1"/>
  <c r="I60" i="3"/>
  <c r="I59" i="3"/>
  <c r="I58" i="3"/>
  <c r="I57" i="3"/>
  <c r="I56" i="3"/>
  <c r="I55" i="3"/>
  <c r="I52" i="3"/>
  <c r="P52" i="11" s="1"/>
  <c r="I51" i="3"/>
  <c r="P51" i="11" s="1"/>
  <c r="I42" i="3"/>
  <c r="P42" i="11" s="1"/>
  <c r="I41" i="3"/>
  <c r="P41" i="11" s="1"/>
  <c r="T41" i="11" s="1"/>
  <c r="I40" i="3"/>
  <c r="I39" i="3"/>
  <c r="I38" i="3"/>
  <c r="I37" i="3"/>
  <c r="I36" i="3"/>
  <c r="I35" i="3"/>
  <c r="I32" i="3"/>
  <c r="P32" i="11" s="1"/>
  <c r="I31" i="3"/>
  <c r="P31" i="11" s="1"/>
  <c r="T31" i="11" s="1"/>
  <c r="I30" i="3"/>
  <c r="I29" i="3"/>
  <c r="I28" i="3"/>
  <c r="I27" i="3"/>
  <c r="I26" i="3"/>
  <c r="I25" i="3"/>
  <c r="I22" i="3"/>
  <c r="P22" i="11" s="1"/>
  <c r="I21" i="3"/>
  <c r="P21" i="11" s="1"/>
  <c r="T21" i="11" s="1"/>
  <c r="I20" i="3"/>
  <c r="I19" i="3"/>
  <c r="I18" i="3"/>
  <c r="I17" i="3"/>
  <c r="I16" i="3"/>
  <c r="I15" i="3"/>
  <c r="I12" i="3"/>
  <c r="P12" i="11" s="1"/>
  <c r="I11" i="3"/>
  <c r="P11" i="11" s="1"/>
  <c r="T11" i="11" s="1"/>
  <c r="I10" i="3"/>
  <c r="I9" i="3"/>
  <c r="I8" i="3"/>
  <c r="I7" i="3"/>
  <c r="I6" i="3"/>
  <c r="G12" i="3"/>
  <c r="M12" i="3" s="1"/>
  <c r="G11" i="3"/>
  <c r="I5" i="3"/>
  <c r="L35" i="3" l="1"/>
  <c r="S35" i="11" s="1"/>
  <c r="S73" i="11"/>
  <c r="N22" i="3"/>
  <c r="O5" i="3"/>
  <c r="O61" i="3"/>
  <c r="O6" i="3"/>
  <c r="K23" i="3"/>
  <c r="G23" i="3"/>
  <c r="M23" i="3" s="1"/>
  <c r="N32" i="3"/>
  <c r="N66" i="3"/>
  <c r="O7" i="3"/>
  <c r="O65" i="3"/>
  <c r="G73" i="3"/>
  <c r="M73" i="3" s="1"/>
  <c r="T68" i="11"/>
  <c r="N41" i="3"/>
  <c r="N67" i="3"/>
  <c r="O8" i="3"/>
  <c r="O32" i="3"/>
  <c r="O66" i="3"/>
  <c r="K34" i="3"/>
  <c r="G34" i="3"/>
  <c r="M34" i="3" s="1"/>
  <c r="N65" i="3"/>
  <c r="O62" i="3"/>
  <c r="T67" i="11"/>
  <c r="T12" i="11"/>
  <c r="T22" i="11"/>
  <c r="T32" i="11"/>
  <c r="T42" i="11"/>
  <c r="T70" i="11"/>
  <c r="O35" i="3"/>
  <c r="R35" i="11"/>
  <c r="N11" i="3"/>
  <c r="N51" i="3"/>
  <c r="N69" i="3"/>
  <c r="O10" i="3"/>
  <c r="O42" i="3"/>
  <c r="O68" i="3"/>
  <c r="K24" i="3"/>
  <c r="G24" i="3"/>
  <c r="M24" i="3" s="1"/>
  <c r="K33" i="3"/>
  <c r="G33" i="3"/>
  <c r="M33" i="3" s="1"/>
  <c r="T66" i="11"/>
  <c r="N42" i="3"/>
  <c r="O67" i="3"/>
  <c r="T61" i="11"/>
  <c r="N12" i="3"/>
  <c r="N52" i="3"/>
  <c r="N70" i="3"/>
  <c r="O11" i="3"/>
  <c r="O51" i="3"/>
  <c r="O69" i="3"/>
  <c r="O9" i="3"/>
  <c r="T51" i="11"/>
  <c r="T52" i="11"/>
  <c r="T62" i="11"/>
  <c r="O17" i="3"/>
  <c r="R17" i="11"/>
  <c r="O27" i="3"/>
  <c r="R27" i="11"/>
  <c r="O37" i="3"/>
  <c r="R37" i="11"/>
  <c r="N21" i="3"/>
  <c r="N61" i="3"/>
  <c r="N76" i="3"/>
  <c r="O12" i="3"/>
  <c r="O52" i="3"/>
  <c r="O70" i="3"/>
  <c r="K43" i="3"/>
  <c r="G43" i="3"/>
  <c r="M43" i="3" s="1"/>
  <c r="K44" i="3"/>
  <c r="G44" i="3"/>
  <c r="M44" i="3" s="1"/>
  <c r="O58" i="3"/>
  <c r="O55" i="3"/>
  <c r="O59" i="3"/>
  <c r="O56" i="3"/>
  <c r="O60" i="3"/>
  <c r="O57" i="3"/>
  <c r="O47" i="3"/>
  <c r="S47" i="11"/>
  <c r="O48" i="3"/>
  <c r="O45" i="3"/>
  <c r="S45" i="11"/>
  <c r="O49" i="3"/>
  <c r="S49" i="11"/>
  <c r="Q20" i="11"/>
  <c r="Q17" i="11"/>
  <c r="Q29" i="11"/>
  <c r="Q35" i="11"/>
  <c r="Q36" i="11"/>
  <c r="Q37" i="11"/>
  <c r="Q39" i="11"/>
  <c r="Q40" i="11"/>
  <c r="Q74" i="11"/>
  <c r="P75" i="11"/>
  <c r="P60" i="11"/>
  <c r="P59" i="11"/>
  <c r="P58" i="11"/>
  <c r="T58" i="11" s="1"/>
  <c r="P57" i="11"/>
  <c r="T57" i="11" s="1"/>
  <c r="P56" i="11"/>
  <c r="T56" i="11" s="1"/>
  <c r="P55" i="11"/>
  <c r="T55" i="11" s="1"/>
  <c r="P50" i="11"/>
  <c r="T50" i="11" s="1"/>
  <c r="P49" i="11"/>
  <c r="T49" i="11" s="1"/>
  <c r="P47" i="11"/>
  <c r="T47" i="11" s="1"/>
  <c r="P46" i="11"/>
  <c r="T46" i="11" s="1"/>
  <c r="P45" i="11"/>
  <c r="O38" i="3"/>
  <c r="N60" i="3"/>
  <c r="N58" i="3"/>
  <c r="N57" i="3"/>
  <c r="N55" i="3"/>
  <c r="N49" i="3"/>
  <c r="N45" i="3"/>
  <c r="N39" i="3"/>
  <c r="N38" i="3"/>
  <c r="N30" i="3"/>
  <c r="N28" i="3"/>
  <c r="N27" i="3"/>
  <c r="N26" i="3"/>
  <c r="N25" i="3"/>
  <c r="N19" i="3"/>
  <c r="N18" i="3"/>
  <c r="N16" i="3"/>
  <c r="N15" i="3"/>
  <c r="N10" i="3"/>
  <c r="N9" i="3"/>
  <c r="N8" i="3"/>
  <c r="N74" i="3"/>
  <c r="O74" i="3"/>
  <c r="N75" i="3"/>
  <c r="N29" i="3"/>
  <c r="N59" i="3"/>
  <c r="N56" i="3"/>
  <c r="N50" i="3"/>
  <c r="N48" i="3"/>
  <c r="N47" i="3"/>
  <c r="N46" i="3"/>
  <c r="N40" i="3"/>
  <c r="N36" i="3"/>
  <c r="N35" i="3"/>
  <c r="N20" i="3"/>
  <c r="N17" i="3"/>
  <c r="N6" i="3"/>
  <c r="N5" i="3"/>
  <c r="N7" i="3"/>
  <c r="O75" i="3"/>
  <c r="O36" i="3"/>
  <c r="O46" i="3"/>
  <c r="O50" i="3"/>
  <c r="O15" i="3"/>
  <c r="O39" i="3"/>
  <c r="O40" i="3"/>
  <c r="O28" i="3"/>
  <c r="O29" i="3"/>
  <c r="O25" i="3"/>
  <c r="O26" i="3"/>
  <c r="O30" i="3"/>
  <c r="O18" i="3"/>
  <c r="O19" i="3"/>
  <c r="O20" i="3"/>
  <c r="O16" i="3"/>
  <c r="N37" i="3"/>
  <c r="O33" i="3" l="1"/>
  <c r="R33" i="11"/>
  <c r="T33" i="11" s="1"/>
  <c r="O23" i="3"/>
  <c r="R23" i="11"/>
  <c r="R44" i="11"/>
  <c r="O44" i="3"/>
  <c r="O43" i="3"/>
  <c r="R43" i="11"/>
  <c r="R34" i="11"/>
  <c r="T34" i="11" s="1"/>
  <c r="O34" i="3"/>
  <c r="T45" i="11"/>
  <c r="O24" i="3"/>
  <c r="R24" i="11"/>
  <c r="T24" i="11" s="1"/>
  <c r="T75" i="11"/>
  <c r="T60" i="11"/>
  <c r="T59" i="11"/>
  <c r="G19" i="3"/>
  <c r="M19" i="3" s="1"/>
  <c r="G15" i="3"/>
  <c r="M15" i="3" s="1"/>
  <c r="G20" i="3"/>
  <c r="M20" i="3" s="1"/>
  <c r="G17" i="3"/>
  <c r="M17" i="3" s="1"/>
  <c r="G76" i="3"/>
  <c r="M76" i="3" s="1"/>
  <c r="G75" i="3"/>
  <c r="M75" i="3" s="1"/>
  <c r="G74" i="3"/>
  <c r="M74" i="3" s="1"/>
  <c r="G70" i="3"/>
  <c r="M70" i="3" s="1"/>
  <c r="G69" i="3"/>
  <c r="M69" i="3" s="1"/>
  <c r="G68" i="3"/>
  <c r="M68" i="3" s="1"/>
  <c r="G67" i="3"/>
  <c r="M67" i="3" s="1"/>
  <c r="G66" i="3"/>
  <c r="M66" i="3" s="1"/>
  <c r="G65" i="3"/>
  <c r="M65" i="3" s="1"/>
  <c r="G62" i="3"/>
  <c r="M62" i="3" s="1"/>
  <c r="G61" i="3"/>
  <c r="M61" i="3" s="1"/>
  <c r="G60" i="3"/>
  <c r="M60" i="3" s="1"/>
  <c r="G59" i="3"/>
  <c r="M59" i="3" s="1"/>
  <c r="G58" i="3"/>
  <c r="M58" i="3" s="1"/>
  <c r="G57" i="3"/>
  <c r="M57" i="3" s="1"/>
  <c r="G56" i="3"/>
  <c r="M56" i="3" s="1"/>
  <c r="G55" i="3"/>
  <c r="M55" i="3" s="1"/>
  <c r="G52" i="3"/>
  <c r="M52" i="3" s="1"/>
  <c r="G51" i="3"/>
  <c r="M51" i="3" s="1"/>
  <c r="G42" i="3"/>
  <c r="M42" i="3" s="1"/>
  <c r="G41" i="3"/>
  <c r="M41" i="3" s="1"/>
  <c r="G40" i="3"/>
  <c r="M40" i="3" s="1"/>
  <c r="G39" i="3"/>
  <c r="M39" i="3" s="1"/>
  <c r="G38" i="3"/>
  <c r="M38" i="3" s="1"/>
  <c r="G37" i="3"/>
  <c r="M37" i="3" s="1"/>
  <c r="G36" i="3"/>
  <c r="M36" i="3" s="1"/>
  <c r="G35" i="3"/>
  <c r="M35" i="3" s="1"/>
  <c r="G32" i="3"/>
  <c r="M32" i="3" s="1"/>
  <c r="G31" i="3"/>
  <c r="M31" i="3" s="1"/>
  <c r="G30" i="3"/>
  <c r="M30" i="3" s="1"/>
  <c r="G29" i="3"/>
  <c r="M29" i="3" s="1"/>
  <c r="G28" i="3"/>
  <c r="M28" i="3" s="1"/>
  <c r="G27" i="3"/>
  <c r="M27" i="3" s="1"/>
  <c r="G26" i="3"/>
  <c r="M26" i="3" s="1"/>
  <c r="G25" i="3"/>
  <c r="M25" i="3" s="1"/>
  <c r="G22" i="3"/>
  <c r="M22" i="3" s="1"/>
  <c r="G21" i="3"/>
  <c r="M21" i="3" s="1"/>
  <c r="G18" i="3"/>
  <c r="M18" i="3" s="1"/>
  <c r="G16" i="3"/>
  <c r="M16" i="3" s="1"/>
  <c r="G10" i="3"/>
  <c r="M10" i="3" s="1"/>
  <c r="G9" i="3"/>
  <c r="M9" i="3" s="1"/>
  <c r="G8" i="3"/>
  <c r="M8" i="3" s="1"/>
  <c r="G7" i="3"/>
  <c r="M7" i="3" s="1"/>
  <c r="G6" i="3"/>
  <c r="M6" i="3" s="1"/>
  <c r="G5" i="3"/>
  <c r="M5" i="3" s="1"/>
  <c r="P76" i="2"/>
  <c r="N76" i="11" s="1"/>
  <c r="P75" i="2"/>
  <c r="N75" i="11" s="1"/>
  <c r="P70" i="2"/>
  <c r="N70" i="11" s="1"/>
  <c r="P69" i="2"/>
  <c r="N69" i="11" s="1"/>
  <c r="P68" i="2"/>
  <c r="N68" i="11" s="1"/>
  <c r="P67" i="2"/>
  <c r="N67" i="11" s="1"/>
  <c r="P66" i="2"/>
  <c r="N66" i="11" s="1"/>
  <c r="P65" i="2"/>
  <c r="N65" i="11" s="1"/>
  <c r="O76" i="2"/>
  <c r="M76" i="11" s="1"/>
  <c r="O75" i="2"/>
  <c r="M75" i="11" s="1"/>
  <c r="O70" i="2"/>
  <c r="M70" i="11" s="1"/>
  <c r="O69" i="2"/>
  <c r="O68" i="2"/>
  <c r="O67" i="2"/>
  <c r="M67" i="11" s="1"/>
  <c r="O66" i="2"/>
  <c r="M66" i="11" s="1"/>
  <c r="O65" i="2"/>
  <c r="N76" i="2"/>
  <c r="N75" i="2"/>
  <c r="N70" i="2"/>
  <c r="N69" i="2"/>
  <c r="N68" i="2"/>
  <c r="N67" i="2"/>
  <c r="N66" i="2"/>
  <c r="N65" i="2"/>
  <c r="M76" i="2"/>
  <c r="L76" i="11" s="1"/>
  <c r="M75" i="2"/>
  <c r="L75" i="11" s="1"/>
  <c r="M70" i="2"/>
  <c r="L70" i="11" s="1"/>
  <c r="M69" i="2"/>
  <c r="L69" i="11" s="1"/>
  <c r="M68" i="2"/>
  <c r="L68" i="11" s="1"/>
  <c r="M67" i="2"/>
  <c r="L67" i="11" s="1"/>
  <c r="M66" i="2"/>
  <c r="L66" i="11" s="1"/>
  <c r="M65" i="2"/>
  <c r="L65" i="11" s="1"/>
  <c r="L76" i="2"/>
  <c r="L75" i="2"/>
  <c r="L70" i="2"/>
  <c r="L69" i="2"/>
  <c r="L68" i="2"/>
  <c r="L67" i="2"/>
  <c r="L66" i="2"/>
  <c r="L65" i="2"/>
  <c r="K76" i="2"/>
  <c r="K76" i="11" s="1"/>
  <c r="K75" i="2"/>
  <c r="K75" i="11" s="1"/>
  <c r="K70" i="2"/>
  <c r="K70" i="11" s="1"/>
  <c r="O70" i="11" s="1"/>
  <c r="K69" i="2"/>
  <c r="K69" i="11" s="1"/>
  <c r="K68" i="2"/>
  <c r="K68" i="11" s="1"/>
  <c r="K67" i="2"/>
  <c r="K67" i="11" s="1"/>
  <c r="O67" i="11" s="1"/>
  <c r="K66" i="2"/>
  <c r="K66" i="11" s="1"/>
  <c r="O66" i="11" s="1"/>
  <c r="K65" i="2"/>
  <c r="K65" i="11" s="1"/>
  <c r="J60" i="2"/>
  <c r="J57" i="2"/>
  <c r="J58" i="2"/>
  <c r="AA58" i="2" s="1"/>
  <c r="J59" i="2"/>
  <c r="J56" i="2"/>
  <c r="J55" i="2"/>
  <c r="J50" i="2"/>
  <c r="AA50" i="2" s="1"/>
  <c r="J49" i="2"/>
  <c r="AA49" i="2" s="1"/>
  <c r="J48" i="2"/>
  <c r="J47" i="2"/>
  <c r="J46" i="2"/>
  <c r="J45" i="2"/>
  <c r="J40" i="2"/>
  <c r="J39" i="2"/>
  <c r="J38" i="2"/>
  <c r="AA38" i="2" s="1"/>
  <c r="J37" i="2"/>
  <c r="J35" i="2"/>
  <c r="J36" i="2"/>
  <c r="J30" i="2"/>
  <c r="AA30" i="2" s="1"/>
  <c r="J29" i="2"/>
  <c r="AA29" i="2" s="1"/>
  <c r="J28" i="2"/>
  <c r="J26" i="2"/>
  <c r="J25" i="2"/>
  <c r="J27" i="2"/>
  <c r="AA27" i="2" s="1"/>
  <c r="J42" i="2"/>
  <c r="AA42" i="2" s="1"/>
  <c r="J41" i="2"/>
  <c r="J62" i="2"/>
  <c r="J61" i="2"/>
  <c r="J52" i="2"/>
  <c r="AA52" i="2" s="1"/>
  <c r="J51" i="2"/>
  <c r="AA51" i="2" s="1"/>
  <c r="J32" i="2"/>
  <c r="J31" i="2"/>
  <c r="AA31" i="2" s="1"/>
  <c r="J22" i="2"/>
  <c r="AA22" i="2" s="1"/>
  <c r="J21" i="2"/>
  <c r="J12" i="2"/>
  <c r="J11" i="2"/>
  <c r="J20" i="2"/>
  <c r="AA20" i="2" s="1"/>
  <c r="J19" i="2"/>
  <c r="AA19" i="2" s="1"/>
  <c r="J18" i="2"/>
  <c r="J17" i="2"/>
  <c r="AA17" i="2" s="1"/>
  <c r="J16" i="2"/>
  <c r="J15" i="2"/>
  <c r="J10" i="2"/>
  <c r="J9" i="2"/>
  <c r="J8" i="2"/>
  <c r="AA8" i="2" s="1"/>
  <c r="J7" i="2"/>
  <c r="AA7" i="2" s="1"/>
  <c r="J6" i="2"/>
  <c r="J5" i="2"/>
  <c r="I76" i="2"/>
  <c r="I75" i="2"/>
  <c r="I74" i="2"/>
  <c r="I73" i="2"/>
  <c r="I70" i="2"/>
  <c r="I69" i="2"/>
  <c r="I68" i="2"/>
  <c r="I67" i="2"/>
  <c r="I66" i="2"/>
  <c r="I65" i="2"/>
  <c r="I62" i="2"/>
  <c r="I61" i="2"/>
  <c r="I60" i="2"/>
  <c r="I59" i="2"/>
  <c r="I58" i="2"/>
  <c r="I57" i="2"/>
  <c r="I56" i="2"/>
  <c r="I55" i="2"/>
  <c r="I52" i="2"/>
  <c r="I51" i="2"/>
  <c r="I50" i="2"/>
  <c r="I49" i="2"/>
  <c r="I48" i="2"/>
  <c r="I47" i="2"/>
  <c r="I46" i="2"/>
  <c r="I45" i="2"/>
  <c r="I42" i="2"/>
  <c r="I41" i="2"/>
  <c r="I40" i="2"/>
  <c r="I39" i="2"/>
  <c r="I38" i="2"/>
  <c r="I37" i="2"/>
  <c r="I36" i="2"/>
  <c r="I35" i="2"/>
  <c r="I32" i="2"/>
  <c r="I31" i="2"/>
  <c r="I30" i="2"/>
  <c r="I29" i="2"/>
  <c r="I28" i="2"/>
  <c r="I27" i="2"/>
  <c r="I26" i="2"/>
  <c r="I25" i="2"/>
  <c r="I22" i="2"/>
  <c r="I21" i="2"/>
  <c r="I20" i="2"/>
  <c r="I19" i="2"/>
  <c r="I18" i="2"/>
  <c r="I17" i="2"/>
  <c r="I16" i="2"/>
  <c r="I15" i="2"/>
  <c r="I12" i="2"/>
  <c r="I11" i="2"/>
  <c r="I10" i="2"/>
  <c r="I9" i="2"/>
  <c r="I8" i="2"/>
  <c r="I7" i="2"/>
  <c r="I6" i="2"/>
  <c r="I5" i="2"/>
  <c r="L25" i="2" l="1"/>
  <c r="J33" i="2"/>
  <c r="AA25" i="2"/>
  <c r="M6" i="2"/>
  <c r="J14" i="2"/>
  <c r="AA6" i="2"/>
  <c r="J63" i="2"/>
  <c r="AA55" i="2"/>
  <c r="K56" i="2"/>
  <c r="J64" i="2"/>
  <c r="AA56" i="2"/>
  <c r="S68" i="2"/>
  <c r="M68" i="11"/>
  <c r="O68" i="11" s="1"/>
  <c r="L9" i="2"/>
  <c r="AA9" i="2"/>
  <c r="M11" i="2"/>
  <c r="AA11" i="2"/>
  <c r="K61" i="2"/>
  <c r="AA61" i="2"/>
  <c r="J53" i="2"/>
  <c r="AA45" i="2"/>
  <c r="M59" i="2"/>
  <c r="L59" i="11" s="1"/>
  <c r="AA59" i="2"/>
  <c r="S69" i="2"/>
  <c r="M69" i="11"/>
  <c r="O69" i="11" s="1"/>
  <c r="L32" i="2"/>
  <c r="AA32" i="2"/>
  <c r="M26" i="2"/>
  <c r="J34" i="2"/>
  <c r="AA26" i="2"/>
  <c r="L39" i="2"/>
  <c r="AA39" i="2"/>
  <c r="L28" i="2"/>
  <c r="AA28" i="2"/>
  <c r="J54" i="2"/>
  <c r="AA46" i="2"/>
  <c r="T23" i="11"/>
  <c r="L15" i="2"/>
  <c r="J23" i="2"/>
  <c r="AA15" i="2"/>
  <c r="K21" i="2"/>
  <c r="AA21" i="2"/>
  <c r="M41" i="2"/>
  <c r="AA41" i="2"/>
  <c r="M36" i="2"/>
  <c r="J44" i="2"/>
  <c r="AA36" i="2"/>
  <c r="M47" i="2"/>
  <c r="AA47" i="2"/>
  <c r="M57" i="2"/>
  <c r="AA57" i="2"/>
  <c r="L18" i="2"/>
  <c r="AA18" i="2"/>
  <c r="M40" i="2"/>
  <c r="AA40" i="2"/>
  <c r="M10" i="2"/>
  <c r="AA10" i="2"/>
  <c r="L12" i="2"/>
  <c r="AA12" i="2"/>
  <c r="J24" i="2"/>
  <c r="AA16" i="2"/>
  <c r="M35" i="2"/>
  <c r="J43" i="2"/>
  <c r="AA35" i="2"/>
  <c r="L48" i="2"/>
  <c r="AA48" i="2"/>
  <c r="K60" i="2"/>
  <c r="AA60" i="2"/>
  <c r="L62" i="2"/>
  <c r="AA62" i="2"/>
  <c r="K5" i="2"/>
  <c r="J13" i="2"/>
  <c r="AA5" i="2"/>
  <c r="K37" i="2"/>
  <c r="AA37" i="2"/>
  <c r="O65" i="11"/>
  <c r="S65" i="2"/>
  <c r="M65" i="11"/>
  <c r="AB75" i="11"/>
  <c r="AP75" i="11"/>
  <c r="AI75" i="11"/>
  <c r="AC75" i="11"/>
  <c r="AQ75" i="11"/>
  <c r="AJ75" i="11"/>
  <c r="O76" i="11"/>
  <c r="O75" i="11"/>
  <c r="AO75" i="11"/>
  <c r="AH75" i="11"/>
  <c r="AA75" i="11"/>
  <c r="K56" i="11"/>
  <c r="X75" i="11"/>
  <c r="AE75" i="11"/>
  <c r="AL75" i="11"/>
  <c r="S75" i="2"/>
  <c r="K25" i="2"/>
  <c r="M25" i="2"/>
  <c r="L35" i="2"/>
  <c r="K35" i="2"/>
  <c r="P7" i="2"/>
  <c r="N7" i="11" s="1"/>
  <c r="N7" i="2"/>
  <c r="O7" i="2"/>
  <c r="M7" i="11" s="1"/>
  <c r="O19" i="2"/>
  <c r="M19" i="11" s="1"/>
  <c r="P19" i="2"/>
  <c r="N19" i="11" s="1"/>
  <c r="N19" i="2"/>
  <c r="P51" i="2"/>
  <c r="N51" i="11" s="1"/>
  <c r="N51" i="2"/>
  <c r="Q51" i="2" s="1"/>
  <c r="O51" i="2"/>
  <c r="M51" i="11" s="1"/>
  <c r="P27" i="2"/>
  <c r="N27" i="11" s="1"/>
  <c r="N27" i="2"/>
  <c r="O27" i="2"/>
  <c r="M27" i="11" s="1"/>
  <c r="O29" i="2"/>
  <c r="M29" i="11" s="1"/>
  <c r="P29" i="2"/>
  <c r="N29" i="11" s="1"/>
  <c r="N29" i="2"/>
  <c r="O45" i="2"/>
  <c r="P45" i="2"/>
  <c r="N45" i="11" s="1"/>
  <c r="N45" i="2"/>
  <c r="O49" i="2"/>
  <c r="M49" i="11" s="1"/>
  <c r="P49" i="2"/>
  <c r="N49" i="11" s="1"/>
  <c r="N49" i="2"/>
  <c r="K15" i="2"/>
  <c r="K29" i="2"/>
  <c r="K39" i="2"/>
  <c r="K49" i="2"/>
  <c r="K59" i="2"/>
  <c r="R65" i="2"/>
  <c r="R75" i="2"/>
  <c r="L11" i="2"/>
  <c r="L21" i="2"/>
  <c r="L27" i="2"/>
  <c r="L37" i="2"/>
  <c r="L47" i="2"/>
  <c r="L57" i="2"/>
  <c r="M15" i="2"/>
  <c r="O8" i="2"/>
  <c r="M8" i="11" s="1"/>
  <c r="P8" i="2"/>
  <c r="N8" i="11" s="1"/>
  <c r="N8" i="2"/>
  <c r="P16" i="2"/>
  <c r="N16" i="11" s="1"/>
  <c r="N16" i="2"/>
  <c r="O16" i="2"/>
  <c r="M16" i="11" s="1"/>
  <c r="P20" i="2"/>
  <c r="N20" i="11" s="1"/>
  <c r="N20" i="2"/>
  <c r="O20" i="2"/>
  <c r="M20" i="11" s="1"/>
  <c r="O22" i="2"/>
  <c r="M22" i="11" s="1"/>
  <c r="P22" i="2"/>
  <c r="N22" i="11" s="1"/>
  <c r="N22" i="2"/>
  <c r="O52" i="2"/>
  <c r="P52" i="2"/>
  <c r="N52" i="11" s="1"/>
  <c r="N52" i="2"/>
  <c r="O42" i="2"/>
  <c r="M42" i="11" s="1"/>
  <c r="P42" i="2"/>
  <c r="N42" i="11" s="1"/>
  <c r="N42" i="2"/>
  <c r="O25" i="2"/>
  <c r="M25" i="11" s="1"/>
  <c r="P25" i="2"/>
  <c r="N25" i="11" s="1"/>
  <c r="N25" i="2"/>
  <c r="R25" i="2" s="1"/>
  <c r="P30" i="2"/>
  <c r="N30" i="11" s="1"/>
  <c r="N30" i="2"/>
  <c r="O30" i="2"/>
  <c r="M30" i="11" s="1"/>
  <c r="O38" i="2"/>
  <c r="M38" i="11" s="1"/>
  <c r="P38" i="2"/>
  <c r="N38" i="11" s="1"/>
  <c r="N38" i="2"/>
  <c r="P46" i="2"/>
  <c r="N46" i="11" s="1"/>
  <c r="N46" i="2"/>
  <c r="O46" i="2"/>
  <c r="M46" i="11" s="1"/>
  <c r="P50" i="2"/>
  <c r="N50" i="11" s="1"/>
  <c r="N50" i="2"/>
  <c r="O50" i="2"/>
  <c r="M50" i="11" s="1"/>
  <c r="O58" i="2"/>
  <c r="M58" i="11" s="1"/>
  <c r="M58" i="2"/>
  <c r="P58" i="2"/>
  <c r="N58" i="11" s="1"/>
  <c r="N58" i="2"/>
  <c r="K6" i="2"/>
  <c r="K10" i="2"/>
  <c r="K16" i="2"/>
  <c r="K20" i="2"/>
  <c r="K26" i="2"/>
  <c r="K30" i="2"/>
  <c r="K36" i="2"/>
  <c r="K40" i="2"/>
  <c r="K46" i="2"/>
  <c r="K50" i="2"/>
  <c r="R66" i="2"/>
  <c r="R70" i="2"/>
  <c r="R76" i="2"/>
  <c r="L8" i="2"/>
  <c r="L22" i="2"/>
  <c r="L38" i="2"/>
  <c r="L42" i="2"/>
  <c r="Q42" i="2" s="1"/>
  <c r="L52" i="2"/>
  <c r="L58" i="2"/>
  <c r="M16" i="2"/>
  <c r="M20" i="2"/>
  <c r="M30" i="2"/>
  <c r="M46" i="2"/>
  <c r="M50" i="2"/>
  <c r="L50" i="11" s="1"/>
  <c r="O5" i="2"/>
  <c r="M5" i="11" s="1"/>
  <c r="P5" i="2"/>
  <c r="N5" i="11" s="1"/>
  <c r="N5" i="2"/>
  <c r="P17" i="2"/>
  <c r="N17" i="11" s="1"/>
  <c r="N17" i="2"/>
  <c r="O17" i="2"/>
  <c r="M17" i="11" s="1"/>
  <c r="P31" i="2"/>
  <c r="N31" i="11" s="1"/>
  <c r="N31" i="2"/>
  <c r="O31" i="2"/>
  <c r="M31" i="11" s="1"/>
  <c r="P26" i="2"/>
  <c r="N26" i="11" s="1"/>
  <c r="N26" i="2"/>
  <c r="O26" i="2"/>
  <c r="M26" i="11" s="1"/>
  <c r="O55" i="2"/>
  <c r="M55" i="11" s="1"/>
  <c r="P55" i="2"/>
  <c r="N55" i="11" s="1"/>
  <c r="N55" i="2"/>
  <c r="K7" i="2"/>
  <c r="K17" i="2"/>
  <c r="K31" i="2"/>
  <c r="K41" i="2"/>
  <c r="K51" i="2"/>
  <c r="L19" i="2"/>
  <c r="L29" i="2"/>
  <c r="L49" i="2"/>
  <c r="L59" i="2"/>
  <c r="M7" i="2"/>
  <c r="L7" i="11" s="1"/>
  <c r="M17" i="2"/>
  <c r="M21" i="2"/>
  <c r="M27" i="2"/>
  <c r="L27" i="11" s="1"/>
  <c r="M31" i="2"/>
  <c r="M37" i="2"/>
  <c r="M51" i="2"/>
  <c r="O9" i="2"/>
  <c r="M9" i="11" s="1"/>
  <c r="P9" i="2"/>
  <c r="N9" i="11" s="1"/>
  <c r="N9" i="2"/>
  <c r="P11" i="2"/>
  <c r="N11" i="11" s="1"/>
  <c r="N11" i="2"/>
  <c r="O11" i="2"/>
  <c r="M11" i="11" s="1"/>
  <c r="P61" i="2"/>
  <c r="N61" i="11" s="1"/>
  <c r="N61" i="2"/>
  <c r="O61" i="2"/>
  <c r="M61" i="11" s="1"/>
  <c r="M61" i="2"/>
  <c r="L61" i="11" s="1"/>
  <c r="J73" i="2"/>
  <c r="P36" i="2"/>
  <c r="N36" i="11" s="1"/>
  <c r="N36" i="2"/>
  <c r="O36" i="2"/>
  <c r="M36" i="11" s="1"/>
  <c r="O39" i="2"/>
  <c r="M39" i="11" s="1"/>
  <c r="P39" i="2"/>
  <c r="N39" i="2"/>
  <c r="P47" i="2"/>
  <c r="N47" i="11" s="1"/>
  <c r="N47" i="2"/>
  <c r="O47" i="2"/>
  <c r="M47" i="11" s="1"/>
  <c r="P57" i="2"/>
  <c r="N57" i="11" s="1"/>
  <c r="N57" i="2"/>
  <c r="O57" i="2"/>
  <c r="M57" i="11" s="1"/>
  <c r="K11" i="2"/>
  <c r="K11" i="11" s="1"/>
  <c r="K27" i="2"/>
  <c r="K47" i="2"/>
  <c r="K57" i="2"/>
  <c r="R67" i="2"/>
  <c r="L5" i="2"/>
  <c r="L45" i="2"/>
  <c r="L55" i="2"/>
  <c r="P6" i="2"/>
  <c r="N6" i="11" s="1"/>
  <c r="N6" i="2"/>
  <c r="O6" i="2"/>
  <c r="M6" i="11" s="1"/>
  <c r="P10" i="2"/>
  <c r="N10" i="11" s="1"/>
  <c r="N10" i="2"/>
  <c r="O10" i="2"/>
  <c r="M10" i="11" s="1"/>
  <c r="O18" i="2"/>
  <c r="M18" i="11" s="1"/>
  <c r="P18" i="2"/>
  <c r="N18" i="11" s="1"/>
  <c r="N18" i="2"/>
  <c r="O12" i="2"/>
  <c r="M12" i="11" s="1"/>
  <c r="P12" i="2"/>
  <c r="N12" i="11" s="1"/>
  <c r="N12" i="2"/>
  <c r="O32" i="2"/>
  <c r="M32" i="11" s="1"/>
  <c r="P32" i="2"/>
  <c r="N32" i="11" s="1"/>
  <c r="N32" i="2"/>
  <c r="O62" i="2"/>
  <c r="M62" i="11" s="1"/>
  <c r="M62" i="2"/>
  <c r="P62" i="2"/>
  <c r="N62" i="11" s="1"/>
  <c r="N62" i="2"/>
  <c r="Q62" i="2" s="1"/>
  <c r="J74" i="2"/>
  <c r="O28" i="2"/>
  <c r="M28" i="11" s="1"/>
  <c r="P28" i="2"/>
  <c r="N28" i="11" s="1"/>
  <c r="N28" i="2"/>
  <c r="O35" i="2"/>
  <c r="M35" i="11" s="1"/>
  <c r="P35" i="2"/>
  <c r="N35" i="11" s="1"/>
  <c r="N35" i="2"/>
  <c r="L35" i="11" s="1"/>
  <c r="P40" i="2"/>
  <c r="N40" i="11" s="1"/>
  <c r="N40" i="2"/>
  <c r="O40" i="2"/>
  <c r="M40" i="11" s="1"/>
  <c r="O48" i="2"/>
  <c r="P48" i="2"/>
  <c r="N48" i="11" s="1"/>
  <c r="N48" i="2"/>
  <c r="P56" i="2"/>
  <c r="N56" i="11" s="1"/>
  <c r="N56" i="2"/>
  <c r="Q56" i="2" s="1"/>
  <c r="O56" i="2"/>
  <c r="M56" i="11" s="1"/>
  <c r="M56" i="2"/>
  <c r="P60" i="2"/>
  <c r="N60" i="11" s="1"/>
  <c r="N60" i="2"/>
  <c r="O60" i="2"/>
  <c r="M60" i="11" s="1"/>
  <c r="M60" i="2"/>
  <c r="K8" i="2"/>
  <c r="K12" i="2"/>
  <c r="K12" i="11" s="1"/>
  <c r="K18" i="2"/>
  <c r="K22" i="2"/>
  <c r="K22" i="11" s="1"/>
  <c r="K28" i="2"/>
  <c r="K32" i="2"/>
  <c r="Q32" i="2" s="1"/>
  <c r="K38" i="2"/>
  <c r="K42" i="2"/>
  <c r="K48" i="2"/>
  <c r="K48" i="11" s="1"/>
  <c r="K52" i="2"/>
  <c r="K58" i="2"/>
  <c r="K62" i="2"/>
  <c r="K62" i="11" s="1"/>
  <c r="R68" i="2"/>
  <c r="L6" i="2"/>
  <c r="L10" i="2"/>
  <c r="L16" i="2"/>
  <c r="L20" i="2"/>
  <c r="L26" i="2"/>
  <c r="L30" i="2"/>
  <c r="L36" i="2"/>
  <c r="L40" i="2"/>
  <c r="L46" i="2"/>
  <c r="L50" i="2"/>
  <c r="L56" i="2"/>
  <c r="L60" i="2"/>
  <c r="M8" i="2"/>
  <c r="L8" i="11" s="1"/>
  <c r="M12" i="2"/>
  <c r="L12" i="11" s="1"/>
  <c r="M18" i="2"/>
  <c r="M22" i="2"/>
  <c r="L22" i="11" s="1"/>
  <c r="M28" i="2"/>
  <c r="M32" i="2"/>
  <c r="L32" i="11" s="1"/>
  <c r="M38" i="2"/>
  <c r="M42" i="2"/>
  <c r="L42" i="11" s="1"/>
  <c r="M48" i="2"/>
  <c r="L48" i="11" s="1"/>
  <c r="M52" i="2"/>
  <c r="L52" i="11" s="1"/>
  <c r="O15" i="2"/>
  <c r="M15" i="11" s="1"/>
  <c r="P15" i="2"/>
  <c r="N15" i="11" s="1"/>
  <c r="N15" i="2"/>
  <c r="P21" i="2"/>
  <c r="N21" i="11" s="1"/>
  <c r="N21" i="2"/>
  <c r="O21" i="2"/>
  <c r="M21" i="11" s="1"/>
  <c r="P41" i="2"/>
  <c r="N41" i="11" s="1"/>
  <c r="N41" i="2"/>
  <c r="O41" i="2"/>
  <c r="M41" i="11" s="1"/>
  <c r="P37" i="2"/>
  <c r="N37" i="11" s="1"/>
  <c r="N37" i="2"/>
  <c r="O37" i="2"/>
  <c r="M37" i="11" s="1"/>
  <c r="O59" i="2"/>
  <c r="M59" i="11" s="1"/>
  <c r="P59" i="2"/>
  <c r="N59" i="11" s="1"/>
  <c r="N59" i="2"/>
  <c r="K9" i="2"/>
  <c r="Q9" i="2" s="1"/>
  <c r="K19" i="2"/>
  <c r="K45" i="2"/>
  <c r="K45" i="11" s="1"/>
  <c r="K55" i="2"/>
  <c r="R69" i="2"/>
  <c r="L7" i="2"/>
  <c r="L17" i="2"/>
  <c r="L31" i="2"/>
  <c r="L41" i="2"/>
  <c r="Q41" i="2" s="1"/>
  <c r="L51" i="2"/>
  <c r="L61" i="2"/>
  <c r="M5" i="2"/>
  <c r="L5" i="11" s="1"/>
  <c r="M9" i="2"/>
  <c r="L9" i="11" s="1"/>
  <c r="M19" i="2"/>
  <c r="M29" i="2"/>
  <c r="M39" i="2"/>
  <c r="M45" i="2"/>
  <c r="L45" i="11" s="1"/>
  <c r="M49" i="2"/>
  <c r="L49" i="11" s="1"/>
  <c r="M55" i="2"/>
  <c r="L55" i="11" s="1"/>
  <c r="Q76" i="2"/>
  <c r="Q66" i="2"/>
  <c r="Q70" i="2"/>
  <c r="S8" i="2"/>
  <c r="S12" i="2"/>
  <c r="S36" i="2"/>
  <c r="S50" i="2"/>
  <c r="S66" i="2"/>
  <c r="S70" i="2"/>
  <c r="Q31" i="2"/>
  <c r="Q67" i="2"/>
  <c r="S57" i="2"/>
  <c r="S67" i="2"/>
  <c r="Q22" i="2"/>
  <c r="Q68" i="2"/>
  <c r="Q7" i="2"/>
  <c r="Q11" i="2"/>
  <c r="Q65" i="2"/>
  <c r="Q69" i="2"/>
  <c r="S11" i="2"/>
  <c r="S76" i="2"/>
  <c r="Q75" i="2"/>
  <c r="Z70" i="1"/>
  <c r="I70" i="11" s="1"/>
  <c r="Z69" i="1"/>
  <c r="I69" i="11" s="1"/>
  <c r="Z68" i="1"/>
  <c r="I68" i="11" s="1"/>
  <c r="Z67" i="1"/>
  <c r="I67" i="11" s="1"/>
  <c r="Z66" i="1"/>
  <c r="I66" i="11" s="1"/>
  <c r="Z65" i="1"/>
  <c r="I65" i="11" s="1"/>
  <c r="Z62" i="1"/>
  <c r="I62" i="11" s="1"/>
  <c r="Z61" i="1"/>
  <c r="I61" i="11" s="1"/>
  <c r="Z60" i="1"/>
  <c r="I60" i="11" s="1"/>
  <c r="Z59" i="1"/>
  <c r="I59" i="11" s="1"/>
  <c r="Z58" i="1"/>
  <c r="I58" i="11" s="1"/>
  <c r="Z57" i="1"/>
  <c r="I57" i="11" s="1"/>
  <c r="Z56" i="1"/>
  <c r="I56" i="11" s="1"/>
  <c r="Z55" i="1"/>
  <c r="I55" i="11" s="1"/>
  <c r="Z52" i="1"/>
  <c r="I52" i="11" s="1"/>
  <c r="Z51" i="1"/>
  <c r="I51" i="11" s="1"/>
  <c r="Z50" i="1"/>
  <c r="I50" i="11" s="1"/>
  <c r="Z49" i="1"/>
  <c r="I49" i="11" s="1"/>
  <c r="Z48" i="1"/>
  <c r="I48" i="11" s="1"/>
  <c r="Z47" i="1"/>
  <c r="I47" i="11" s="1"/>
  <c r="Z46" i="1"/>
  <c r="I46" i="11" s="1"/>
  <c r="Z45" i="1"/>
  <c r="I45" i="11" s="1"/>
  <c r="Z36" i="1"/>
  <c r="I36" i="11" s="1"/>
  <c r="Z32" i="1"/>
  <c r="I32" i="11" s="1"/>
  <c r="Z31" i="1"/>
  <c r="I31" i="11" s="1"/>
  <c r="Z30" i="1"/>
  <c r="I30" i="11" s="1"/>
  <c r="Z29" i="1"/>
  <c r="I29" i="11" s="1"/>
  <c r="Z28" i="1"/>
  <c r="I28" i="11" s="1"/>
  <c r="Z27" i="1"/>
  <c r="I27" i="11" s="1"/>
  <c r="Z26" i="1"/>
  <c r="I26" i="11" s="1"/>
  <c r="Z25" i="1"/>
  <c r="I25" i="11" s="1"/>
  <c r="Z22" i="1"/>
  <c r="I22" i="11" s="1"/>
  <c r="Z21" i="1"/>
  <c r="I21" i="11" s="1"/>
  <c r="Z20" i="1"/>
  <c r="I20" i="11" s="1"/>
  <c r="Z19" i="1"/>
  <c r="I19" i="11" s="1"/>
  <c r="Z18" i="1"/>
  <c r="I18" i="11" s="1"/>
  <c r="Z17" i="1"/>
  <c r="I17" i="11" s="1"/>
  <c r="Z16" i="1"/>
  <c r="I16" i="11" s="1"/>
  <c r="Z15" i="1"/>
  <c r="Z12" i="1"/>
  <c r="I12" i="11" s="1"/>
  <c r="Z11" i="1"/>
  <c r="I11" i="11" s="1"/>
  <c r="Z10" i="1"/>
  <c r="I10" i="11" s="1"/>
  <c r="Z9" i="1"/>
  <c r="I9" i="11" s="1"/>
  <c r="Z8" i="1"/>
  <c r="I8" i="11" s="1"/>
  <c r="Z7" i="1"/>
  <c r="I7" i="11" s="1"/>
  <c r="Z6" i="1"/>
  <c r="I6" i="11" s="1"/>
  <c r="Z5" i="1"/>
  <c r="I5" i="11" s="1"/>
  <c r="Y70" i="1"/>
  <c r="H70" i="11" s="1"/>
  <c r="Y69" i="1"/>
  <c r="H69" i="11" s="1"/>
  <c r="Y68" i="1"/>
  <c r="H68" i="11" s="1"/>
  <c r="Y67" i="1"/>
  <c r="H67" i="11" s="1"/>
  <c r="Y66" i="1"/>
  <c r="H66" i="11" s="1"/>
  <c r="Y65" i="1"/>
  <c r="H65" i="11" s="1"/>
  <c r="Y62" i="1"/>
  <c r="H62" i="11" s="1"/>
  <c r="Y61" i="1"/>
  <c r="H61" i="11" s="1"/>
  <c r="Y60" i="1"/>
  <c r="H60" i="11" s="1"/>
  <c r="Y59" i="1"/>
  <c r="H59" i="11" s="1"/>
  <c r="Y58" i="1"/>
  <c r="H58" i="11" s="1"/>
  <c r="Y57" i="1"/>
  <c r="H57" i="11" s="1"/>
  <c r="Y56" i="1"/>
  <c r="H56" i="11" s="1"/>
  <c r="Y55" i="1"/>
  <c r="H55" i="11" s="1"/>
  <c r="Y52" i="1"/>
  <c r="H52" i="11" s="1"/>
  <c r="Y51" i="1"/>
  <c r="H51" i="11" s="1"/>
  <c r="Y50" i="1"/>
  <c r="H50" i="11" s="1"/>
  <c r="Y49" i="1"/>
  <c r="H49" i="11" s="1"/>
  <c r="Y48" i="1"/>
  <c r="H48" i="11" s="1"/>
  <c r="Y47" i="1"/>
  <c r="H47" i="11" s="1"/>
  <c r="Y46" i="1"/>
  <c r="H46" i="11" s="1"/>
  <c r="Y45" i="1"/>
  <c r="H45" i="11" s="1"/>
  <c r="Y36" i="1"/>
  <c r="H36" i="11" s="1"/>
  <c r="Y32" i="1"/>
  <c r="H32" i="11" s="1"/>
  <c r="Y31" i="1"/>
  <c r="H31" i="11" s="1"/>
  <c r="Y30" i="1"/>
  <c r="H30" i="11" s="1"/>
  <c r="Y29" i="1"/>
  <c r="H29" i="11" s="1"/>
  <c r="Y28" i="1"/>
  <c r="H28" i="11" s="1"/>
  <c r="Y27" i="1"/>
  <c r="H27" i="11" s="1"/>
  <c r="Y26" i="1"/>
  <c r="H26" i="11" s="1"/>
  <c r="Y25" i="1"/>
  <c r="H25" i="11" s="1"/>
  <c r="Y22" i="1"/>
  <c r="H22" i="11" s="1"/>
  <c r="Y21" i="1"/>
  <c r="H21" i="11" s="1"/>
  <c r="Y20" i="1"/>
  <c r="H20" i="11" s="1"/>
  <c r="Y19" i="1"/>
  <c r="H19" i="11" s="1"/>
  <c r="Y18" i="1"/>
  <c r="H18" i="11" s="1"/>
  <c r="Y17" i="1"/>
  <c r="H17" i="11" s="1"/>
  <c r="Y16" i="1"/>
  <c r="H16" i="11" s="1"/>
  <c r="Y15" i="1"/>
  <c r="H15" i="11" s="1"/>
  <c r="Y12" i="1"/>
  <c r="H12" i="11" s="1"/>
  <c r="Y11" i="1"/>
  <c r="H11" i="11" s="1"/>
  <c r="Y10" i="1"/>
  <c r="H10" i="11" s="1"/>
  <c r="Y9" i="1"/>
  <c r="H9" i="11" s="1"/>
  <c r="Y8" i="1"/>
  <c r="H8" i="11" s="1"/>
  <c r="Y7" i="1"/>
  <c r="H7" i="11" s="1"/>
  <c r="Y6" i="1"/>
  <c r="H6" i="11" s="1"/>
  <c r="Y5" i="1"/>
  <c r="H5" i="11" s="1"/>
  <c r="X70" i="1"/>
  <c r="X69" i="1"/>
  <c r="X68" i="1"/>
  <c r="X67" i="1"/>
  <c r="X66" i="1"/>
  <c r="X65" i="1"/>
  <c r="X62" i="1"/>
  <c r="X61" i="1"/>
  <c r="X60" i="1"/>
  <c r="X59" i="1"/>
  <c r="X58" i="1"/>
  <c r="X57" i="1"/>
  <c r="X56" i="1"/>
  <c r="X55" i="1"/>
  <c r="X52" i="1"/>
  <c r="X51" i="1"/>
  <c r="X50" i="1"/>
  <c r="X49" i="1"/>
  <c r="X48" i="1"/>
  <c r="X47" i="1"/>
  <c r="X46" i="1"/>
  <c r="X45" i="1"/>
  <c r="X36" i="1"/>
  <c r="X32" i="1"/>
  <c r="X31" i="1"/>
  <c r="X30" i="1"/>
  <c r="X29" i="1"/>
  <c r="X28" i="1"/>
  <c r="X27" i="1"/>
  <c r="X26" i="1"/>
  <c r="X25" i="1"/>
  <c r="X22" i="1"/>
  <c r="X21" i="1"/>
  <c r="X20" i="1"/>
  <c r="X19" i="1"/>
  <c r="X18" i="1"/>
  <c r="X17" i="1"/>
  <c r="X16" i="1"/>
  <c r="X15" i="1"/>
  <c r="X12" i="1"/>
  <c r="X11" i="1"/>
  <c r="X10" i="1"/>
  <c r="X9" i="1"/>
  <c r="X8" i="1"/>
  <c r="X7" i="1"/>
  <c r="X6" i="1"/>
  <c r="X5" i="1"/>
  <c r="W70" i="1"/>
  <c r="G70" i="11" s="1"/>
  <c r="W69" i="1"/>
  <c r="G69" i="11" s="1"/>
  <c r="W68" i="1"/>
  <c r="G68" i="11" s="1"/>
  <c r="W67" i="1"/>
  <c r="G67" i="11" s="1"/>
  <c r="W66" i="1"/>
  <c r="G66" i="11" s="1"/>
  <c r="W65" i="1"/>
  <c r="G65" i="11" s="1"/>
  <c r="W62" i="1"/>
  <c r="G62" i="11" s="1"/>
  <c r="W61" i="1"/>
  <c r="G61" i="11" s="1"/>
  <c r="W60" i="1"/>
  <c r="G60" i="11" s="1"/>
  <c r="W59" i="1"/>
  <c r="G59" i="11" s="1"/>
  <c r="W58" i="1"/>
  <c r="G58" i="11" s="1"/>
  <c r="W57" i="1"/>
  <c r="G57" i="11" s="1"/>
  <c r="W56" i="1"/>
  <c r="G56" i="11" s="1"/>
  <c r="W55" i="1"/>
  <c r="G55" i="11" s="1"/>
  <c r="W52" i="1"/>
  <c r="G52" i="11" s="1"/>
  <c r="W51" i="1"/>
  <c r="G51" i="11" s="1"/>
  <c r="W50" i="1"/>
  <c r="G50" i="11" s="1"/>
  <c r="W49" i="1"/>
  <c r="G49" i="11" s="1"/>
  <c r="W48" i="1"/>
  <c r="G48" i="11" s="1"/>
  <c r="W47" i="1"/>
  <c r="G47" i="11" s="1"/>
  <c r="W46" i="1"/>
  <c r="G46" i="11" s="1"/>
  <c r="W45" i="1"/>
  <c r="G45" i="11" s="1"/>
  <c r="W36" i="1"/>
  <c r="W32" i="1"/>
  <c r="W31" i="1"/>
  <c r="W30" i="1"/>
  <c r="W29" i="1"/>
  <c r="W28" i="1"/>
  <c r="W27" i="1"/>
  <c r="W26" i="1"/>
  <c r="W25" i="1"/>
  <c r="W22" i="1"/>
  <c r="W21" i="1"/>
  <c r="W20" i="1"/>
  <c r="W19" i="1"/>
  <c r="W18" i="1"/>
  <c r="W17" i="1"/>
  <c r="W16" i="1"/>
  <c r="W15" i="1"/>
  <c r="W12" i="1"/>
  <c r="G12" i="11" s="1"/>
  <c r="W11" i="1"/>
  <c r="G11" i="11" s="1"/>
  <c r="W10" i="1"/>
  <c r="G10" i="11" s="1"/>
  <c r="W9" i="1"/>
  <c r="G9" i="11" s="1"/>
  <c r="W8" i="1"/>
  <c r="G8" i="11" s="1"/>
  <c r="W7" i="1"/>
  <c r="G7" i="11" s="1"/>
  <c r="W6" i="1"/>
  <c r="G6" i="11" s="1"/>
  <c r="W5" i="1"/>
  <c r="G5" i="11" s="1"/>
  <c r="U70" i="1"/>
  <c r="U69" i="1"/>
  <c r="U68" i="1"/>
  <c r="U67" i="1"/>
  <c r="U66" i="1"/>
  <c r="U65" i="1"/>
  <c r="U62" i="1"/>
  <c r="U61" i="1"/>
  <c r="U60" i="1"/>
  <c r="U59" i="1"/>
  <c r="U58" i="1"/>
  <c r="U57" i="1"/>
  <c r="U56" i="1"/>
  <c r="U55" i="1"/>
  <c r="U52" i="1"/>
  <c r="U51" i="1"/>
  <c r="U50" i="1"/>
  <c r="U49" i="1"/>
  <c r="U48" i="1"/>
  <c r="U47" i="1"/>
  <c r="U46" i="1"/>
  <c r="U45" i="1"/>
  <c r="U32" i="1"/>
  <c r="U31" i="1"/>
  <c r="U30" i="1"/>
  <c r="U29" i="1"/>
  <c r="U28" i="1"/>
  <c r="U27" i="1"/>
  <c r="U26" i="1"/>
  <c r="U25" i="1"/>
  <c r="U22" i="1"/>
  <c r="U21" i="1"/>
  <c r="U20" i="1"/>
  <c r="U19" i="1"/>
  <c r="U18" i="1"/>
  <c r="U17" i="1"/>
  <c r="U16" i="1"/>
  <c r="U15" i="1"/>
  <c r="U12" i="1"/>
  <c r="U11" i="1"/>
  <c r="U10" i="1"/>
  <c r="U9" i="1"/>
  <c r="U8" i="1"/>
  <c r="U7" i="1"/>
  <c r="U6" i="1"/>
  <c r="U5" i="1"/>
  <c r="T70" i="1"/>
  <c r="T69" i="1"/>
  <c r="T68" i="1"/>
  <c r="T67" i="1"/>
  <c r="T66" i="1"/>
  <c r="T65" i="1"/>
  <c r="T62" i="1"/>
  <c r="T61" i="1"/>
  <c r="T60" i="1"/>
  <c r="T59" i="1"/>
  <c r="T58" i="1"/>
  <c r="T57" i="1"/>
  <c r="T56" i="1"/>
  <c r="T55" i="1"/>
  <c r="T52" i="1"/>
  <c r="T51" i="1"/>
  <c r="T50" i="1"/>
  <c r="T49" i="1"/>
  <c r="T48" i="1"/>
  <c r="T47" i="1"/>
  <c r="T46" i="1"/>
  <c r="T45" i="1"/>
  <c r="T32" i="1"/>
  <c r="T31" i="1"/>
  <c r="T30" i="1"/>
  <c r="T29" i="1"/>
  <c r="T28" i="1"/>
  <c r="T27" i="1"/>
  <c r="T26" i="1"/>
  <c r="T25" i="1"/>
  <c r="T22" i="1"/>
  <c r="T21" i="1"/>
  <c r="T20" i="1"/>
  <c r="T19" i="1"/>
  <c r="T18" i="1"/>
  <c r="T17" i="1"/>
  <c r="T16" i="1"/>
  <c r="T15" i="1"/>
  <c r="T12" i="1"/>
  <c r="T11" i="1"/>
  <c r="T10" i="1"/>
  <c r="T9" i="1"/>
  <c r="T8" i="1"/>
  <c r="T7" i="1"/>
  <c r="T6" i="1"/>
  <c r="T5" i="1"/>
  <c r="S70" i="1"/>
  <c r="S69" i="1"/>
  <c r="S68" i="1"/>
  <c r="S67" i="1"/>
  <c r="S66" i="1"/>
  <c r="S65" i="1"/>
  <c r="S62" i="1"/>
  <c r="S61" i="1"/>
  <c r="S60" i="1"/>
  <c r="S59" i="1"/>
  <c r="S58" i="1"/>
  <c r="S57" i="1"/>
  <c r="S56" i="1"/>
  <c r="S55" i="1"/>
  <c r="S52" i="1"/>
  <c r="S51" i="1"/>
  <c r="S50" i="1"/>
  <c r="S49" i="1"/>
  <c r="S48" i="1"/>
  <c r="S47" i="1"/>
  <c r="S46" i="1"/>
  <c r="S45" i="1"/>
  <c r="S40" i="1"/>
  <c r="S32" i="1"/>
  <c r="S31" i="1"/>
  <c r="S30" i="1"/>
  <c r="S29" i="1"/>
  <c r="S28" i="1"/>
  <c r="S27" i="1"/>
  <c r="S26" i="1"/>
  <c r="S25" i="1"/>
  <c r="S22" i="1"/>
  <c r="S21" i="1"/>
  <c r="S20" i="1"/>
  <c r="S19" i="1"/>
  <c r="S18" i="1"/>
  <c r="S17" i="1"/>
  <c r="S16" i="1"/>
  <c r="S15" i="1"/>
  <c r="S12" i="1"/>
  <c r="S11" i="1"/>
  <c r="S10" i="1"/>
  <c r="S9" i="1"/>
  <c r="S8" i="1"/>
  <c r="S7" i="1"/>
  <c r="S6" i="1"/>
  <c r="S5" i="1"/>
  <c r="R70" i="1"/>
  <c r="R69" i="1"/>
  <c r="R68" i="1"/>
  <c r="R67" i="1"/>
  <c r="R66" i="1"/>
  <c r="R65" i="1"/>
  <c r="R62" i="1"/>
  <c r="R61" i="1"/>
  <c r="R60" i="1"/>
  <c r="R59" i="1"/>
  <c r="R58" i="1"/>
  <c r="R57" i="1"/>
  <c r="R56" i="1"/>
  <c r="R55" i="1"/>
  <c r="R52" i="1"/>
  <c r="R51" i="1"/>
  <c r="R50" i="1"/>
  <c r="R49" i="1"/>
  <c r="R48" i="1"/>
  <c r="R47" i="1"/>
  <c r="R46" i="1"/>
  <c r="R45" i="1"/>
  <c r="R38" i="1"/>
  <c r="R32" i="1"/>
  <c r="R31" i="1"/>
  <c r="R30" i="1"/>
  <c r="R29" i="1"/>
  <c r="R28" i="1"/>
  <c r="R27" i="1"/>
  <c r="R26" i="1"/>
  <c r="R25" i="1"/>
  <c r="R22" i="1"/>
  <c r="R21" i="1"/>
  <c r="R20" i="1"/>
  <c r="R19" i="1"/>
  <c r="R18" i="1"/>
  <c r="R17" i="1"/>
  <c r="R16" i="1"/>
  <c r="R15" i="1"/>
  <c r="R12" i="1"/>
  <c r="R11" i="1"/>
  <c r="R10" i="1"/>
  <c r="R9" i="1"/>
  <c r="R8" i="1"/>
  <c r="R7" i="1"/>
  <c r="R6" i="1"/>
  <c r="R5" i="1"/>
  <c r="Q70" i="1"/>
  <c r="Q69" i="1"/>
  <c r="Q68" i="1"/>
  <c r="Q67" i="1"/>
  <c r="Q66" i="1"/>
  <c r="Q65" i="1"/>
  <c r="Q62" i="1"/>
  <c r="Q61" i="1"/>
  <c r="Q60" i="1"/>
  <c r="Q59" i="1"/>
  <c r="Q58" i="1"/>
  <c r="Q57" i="1"/>
  <c r="Q56" i="1"/>
  <c r="Q55" i="1"/>
  <c r="Q52" i="1"/>
  <c r="Q51" i="1"/>
  <c r="Q50" i="1"/>
  <c r="Q49" i="1"/>
  <c r="Q48" i="1"/>
  <c r="Q47" i="1"/>
  <c r="Q46" i="1"/>
  <c r="Q45" i="1"/>
  <c r="Q32" i="1"/>
  <c r="Q31" i="1"/>
  <c r="Q30" i="1"/>
  <c r="Q29" i="1"/>
  <c r="Q28" i="1"/>
  <c r="Q27" i="1"/>
  <c r="Q26" i="1"/>
  <c r="Q25" i="1"/>
  <c r="Q22" i="1"/>
  <c r="Q21" i="1"/>
  <c r="Q20" i="1"/>
  <c r="Q19" i="1"/>
  <c r="Q18" i="1"/>
  <c r="Q17" i="1"/>
  <c r="Q16" i="1"/>
  <c r="Q15" i="1"/>
  <c r="Q12" i="1"/>
  <c r="Q11" i="1"/>
  <c r="Q10" i="1"/>
  <c r="Q9" i="1"/>
  <c r="Q8" i="1"/>
  <c r="Q7" i="1"/>
  <c r="Q6" i="1"/>
  <c r="Q5" i="1"/>
  <c r="P70" i="1"/>
  <c r="P69" i="1"/>
  <c r="P68" i="1"/>
  <c r="P67" i="1"/>
  <c r="P66" i="1"/>
  <c r="P65" i="1"/>
  <c r="P62" i="1"/>
  <c r="P61" i="1"/>
  <c r="P60" i="1"/>
  <c r="P59" i="1"/>
  <c r="P58" i="1"/>
  <c r="P57" i="1"/>
  <c r="P56" i="1"/>
  <c r="P55" i="1"/>
  <c r="P52" i="1"/>
  <c r="P51" i="1"/>
  <c r="P50" i="1"/>
  <c r="P49" i="1"/>
  <c r="P48" i="1"/>
  <c r="P47" i="1"/>
  <c r="P46" i="1"/>
  <c r="P45" i="1"/>
  <c r="P38" i="1"/>
  <c r="P32" i="1"/>
  <c r="P31" i="1"/>
  <c r="D31" i="11" s="1"/>
  <c r="P30" i="1"/>
  <c r="P29" i="1"/>
  <c r="P28" i="1"/>
  <c r="P27" i="1"/>
  <c r="P26" i="1"/>
  <c r="P25" i="1"/>
  <c r="P22" i="1"/>
  <c r="P21" i="1"/>
  <c r="D21" i="11" s="1"/>
  <c r="P20" i="1"/>
  <c r="P19" i="1"/>
  <c r="P18" i="1"/>
  <c r="P17" i="1"/>
  <c r="P16" i="1"/>
  <c r="P15" i="1"/>
  <c r="P12" i="1"/>
  <c r="P11" i="1"/>
  <c r="D11" i="11" s="1"/>
  <c r="P10" i="1"/>
  <c r="P9" i="1"/>
  <c r="P8" i="1"/>
  <c r="P7" i="1"/>
  <c r="P6" i="1"/>
  <c r="P5" i="1"/>
  <c r="O40" i="1"/>
  <c r="U40" i="1" s="1"/>
  <c r="O38" i="1"/>
  <c r="T38" i="1" s="1"/>
  <c r="O36" i="1"/>
  <c r="O44" i="1" s="1"/>
  <c r="O35" i="1"/>
  <c r="S35" i="1" s="1"/>
  <c r="A38" i="1"/>
  <c r="O41" i="1" s="1"/>
  <c r="H74" i="1"/>
  <c r="G74" i="1"/>
  <c r="F74" i="1"/>
  <c r="E74" i="1"/>
  <c r="D74" i="1"/>
  <c r="C74" i="1"/>
  <c r="H73" i="1"/>
  <c r="F73" i="1"/>
  <c r="E73" i="1"/>
  <c r="D73" i="1"/>
  <c r="C73" i="1"/>
  <c r="N70" i="1"/>
  <c r="AA70" i="1" s="1"/>
  <c r="N69" i="1"/>
  <c r="AA69" i="1" s="1"/>
  <c r="N68" i="1"/>
  <c r="AA68" i="1" s="1"/>
  <c r="N67" i="1"/>
  <c r="AA67" i="1" s="1"/>
  <c r="N66" i="1"/>
  <c r="AA66" i="1" s="1"/>
  <c r="N65" i="1"/>
  <c r="AA65" i="1" s="1"/>
  <c r="N62" i="1"/>
  <c r="AA62" i="1" s="1"/>
  <c r="N61" i="1"/>
  <c r="AA61" i="1" s="1"/>
  <c r="N60" i="1"/>
  <c r="AA60" i="1" s="1"/>
  <c r="N59" i="1"/>
  <c r="AA59" i="1" s="1"/>
  <c r="N58" i="1"/>
  <c r="AA58" i="1" s="1"/>
  <c r="N57" i="1"/>
  <c r="AA57" i="1" s="1"/>
  <c r="N56" i="1"/>
  <c r="AA56" i="1" s="1"/>
  <c r="N55" i="1"/>
  <c r="AA55" i="1" s="1"/>
  <c r="N52" i="1"/>
  <c r="AA52" i="1" s="1"/>
  <c r="N51" i="1"/>
  <c r="AA51" i="1" s="1"/>
  <c r="N50" i="1"/>
  <c r="AA50" i="1" s="1"/>
  <c r="N49" i="1"/>
  <c r="AA49" i="1" s="1"/>
  <c r="N48" i="1"/>
  <c r="AA48" i="1" s="1"/>
  <c r="N47" i="1"/>
  <c r="AA47" i="1" s="1"/>
  <c r="N46" i="1"/>
  <c r="AA46" i="1" s="1"/>
  <c r="N45" i="1"/>
  <c r="AA45" i="1" s="1"/>
  <c r="N42" i="1"/>
  <c r="N41" i="1"/>
  <c r="N40" i="1"/>
  <c r="AA40" i="1" s="1"/>
  <c r="N39" i="1"/>
  <c r="N38" i="1"/>
  <c r="AA38" i="1" s="1"/>
  <c r="N37" i="1"/>
  <c r="N36" i="1"/>
  <c r="N35" i="1"/>
  <c r="N32" i="1"/>
  <c r="AA32" i="1" s="1"/>
  <c r="N31" i="1"/>
  <c r="AA31" i="1" s="1"/>
  <c r="N30" i="1"/>
  <c r="AA30" i="1" s="1"/>
  <c r="N29" i="1"/>
  <c r="AA29" i="1" s="1"/>
  <c r="N28" i="1"/>
  <c r="AA28" i="1" s="1"/>
  <c r="N27" i="1"/>
  <c r="AA27" i="1" s="1"/>
  <c r="N26" i="1"/>
  <c r="AA26" i="1" s="1"/>
  <c r="N25" i="1"/>
  <c r="AA25" i="1" s="1"/>
  <c r="N22" i="1"/>
  <c r="AA22" i="1" s="1"/>
  <c r="N21" i="1"/>
  <c r="AA21" i="1" s="1"/>
  <c r="N20" i="1"/>
  <c r="AA20" i="1" s="1"/>
  <c r="N19" i="1"/>
  <c r="AA19" i="1" s="1"/>
  <c r="N18" i="1"/>
  <c r="AA18" i="1" s="1"/>
  <c r="N17" i="1"/>
  <c r="AA17" i="1" s="1"/>
  <c r="N16" i="1"/>
  <c r="AA16" i="1" s="1"/>
  <c r="N15" i="1"/>
  <c r="AA15" i="1" s="1"/>
  <c r="N12" i="1"/>
  <c r="AA12" i="1" s="1"/>
  <c r="N11" i="1"/>
  <c r="AA11" i="1" s="1"/>
  <c r="N10" i="1"/>
  <c r="AA10" i="1" s="1"/>
  <c r="N9" i="1"/>
  <c r="AA9" i="1" s="1"/>
  <c r="N8" i="1"/>
  <c r="AA8" i="1" s="1"/>
  <c r="N7" i="1"/>
  <c r="AA7" i="1" s="1"/>
  <c r="N6" i="1"/>
  <c r="AA6" i="1" s="1"/>
  <c r="N5" i="1"/>
  <c r="AA5" i="1" s="1"/>
  <c r="Q41" i="1" l="1"/>
  <c r="P41" i="1"/>
  <c r="Z41" i="1"/>
  <c r="I41" i="11" s="1"/>
  <c r="Y41" i="1"/>
  <c r="H41" i="11" s="1"/>
  <c r="X41" i="1"/>
  <c r="W41" i="1"/>
  <c r="R41" i="1"/>
  <c r="T41" i="1"/>
  <c r="S41" i="1"/>
  <c r="U41" i="1"/>
  <c r="O73" i="1"/>
  <c r="Q35" i="1"/>
  <c r="D12" i="11"/>
  <c r="Q52" i="2"/>
  <c r="K52" i="11"/>
  <c r="O52" i="11" s="1"/>
  <c r="AA36" i="1"/>
  <c r="O42" i="1"/>
  <c r="D10" i="11"/>
  <c r="D20" i="11"/>
  <c r="D30" i="11"/>
  <c r="P40" i="1"/>
  <c r="AB40" i="1" s="1"/>
  <c r="D70" i="11"/>
  <c r="X70" i="11" s="1"/>
  <c r="AD70" i="11" s="1"/>
  <c r="R36" i="1"/>
  <c r="S38" i="1"/>
  <c r="T40" i="1"/>
  <c r="AO5" i="11"/>
  <c r="AA5" i="11"/>
  <c r="AH5" i="11"/>
  <c r="W35" i="1"/>
  <c r="G35" i="11" s="1"/>
  <c r="X35" i="1"/>
  <c r="AP5" i="11"/>
  <c r="AB5" i="11"/>
  <c r="AI5" i="11"/>
  <c r="Y35" i="1"/>
  <c r="H35" i="11" s="1"/>
  <c r="AQ5" i="11"/>
  <c r="AC5" i="11"/>
  <c r="AJ5" i="11"/>
  <c r="Z35" i="1"/>
  <c r="I35" i="11" s="1"/>
  <c r="AC35" i="11" s="1"/>
  <c r="AC5" i="1"/>
  <c r="S61" i="2"/>
  <c r="O22" i="11"/>
  <c r="L56" i="11"/>
  <c r="K31" i="11"/>
  <c r="L34" i="2"/>
  <c r="K34" i="2"/>
  <c r="M34" i="2"/>
  <c r="L34" i="11" s="1"/>
  <c r="N34" i="2"/>
  <c r="AA34" i="2"/>
  <c r="O34" i="2"/>
  <c r="P34" i="2"/>
  <c r="N34" i="11" s="1"/>
  <c r="U35" i="1"/>
  <c r="S6" i="2"/>
  <c r="O12" i="11"/>
  <c r="S52" i="2"/>
  <c r="M52" i="11"/>
  <c r="O37" i="1"/>
  <c r="D5" i="11"/>
  <c r="P35" i="1"/>
  <c r="D35" i="11" s="1"/>
  <c r="D65" i="11"/>
  <c r="J65" i="11" s="1"/>
  <c r="T35" i="1"/>
  <c r="U36" i="1"/>
  <c r="W38" i="1"/>
  <c r="X38" i="1"/>
  <c r="Y38" i="1"/>
  <c r="H38" i="11" s="1"/>
  <c r="Z38" i="1"/>
  <c r="I38" i="11" s="1"/>
  <c r="S47" i="2"/>
  <c r="O48" i="11"/>
  <c r="L62" i="11"/>
  <c r="O62" i="11" s="1"/>
  <c r="L51" i="11"/>
  <c r="Q49" i="2"/>
  <c r="L46" i="11"/>
  <c r="L57" i="11"/>
  <c r="P54" i="2"/>
  <c r="N54" i="11" s="1"/>
  <c r="O54" i="2"/>
  <c r="N54" i="2"/>
  <c r="M54" i="2"/>
  <c r="K54" i="2"/>
  <c r="L54" i="2"/>
  <c r="AA54" i="2"/>
  <c r="P53" i="2"/>
  <c r="N53" i="11" s="1"/>
  <c r="O53" i="2"/>
  <c r="N53" i="2"/>
  <c r="M53" i="2"/>
  <c r="L53" i="2"/>
  <c r="K53" i="2"/>
  <c r="AA53" i="2"/>
  <c r="M14" i="2"/>
  <c r="K14" i="2"/>
  <c r="O14" i="2"/>
  <c r="P14" i="2"/>
  <c r="N14" i="11" s="1"/>
  <c r="N14" i="2"/>
  <c r="L14" i="2"/>
  <c r="AA14" i="2"/>
  <c r="U73" i="1"/>
  <c r="K24" i="2"/>
  <c r="N24" i="2"/>
  <c r="L24" i="2"/>
  <c r="M24" i="2"/>
  <c r="L24" i="11" s="1"/>
  <c r="AA24" i="2"/>
  <c r="O24" i="2"/>
  <c r="P24" i="2"/>
  <c r="N24" i="11" s="1"/>
  <c r="D32" i="11"/>
  <c r="Q36" i="1"/>
  <c r="R35" i="2"/>
  <c r="D6" i="11"/>
  <c r="J6" i="11" s="1"/>
  <c r="D16" i="11"/>
  <c r="D26" i="11"/>
  <c r="P36" i="1"/>
  <c r="D66" i="11"/>
  <c r="Q38" i="1"/>
  <c r="R40" i="1"/>
  <c r="T36" i="1"/>
  <c r="S7" i="2"/>
  <c r="S31" i="2"/>
  <c r="K42" i="11"/>
  <c r="O42" i="11" s="1"/>
  <c r="L60" i="11"/>
  <c r="Q55" i="2"/>
  <c r="L58" i="11"/>
  <c r="L25" i="11"/>
  <c r="K21" i="11"/>
  <c r="O21" i="11" s="1"/>
  <c r="K32" i="11"/>
  <c r="O32" i="11" s="1"/>
  <c r="L6" i="11"/>
  <c r="AA37" i="1"/>
  <c r="P63" i="2"/>
  <c r="N63" i="11" s="1"/>
  <c r="O63" i="2"/>
  <c r="N63" i="2"/>
  <c r="M63" i="2"/>
  <c r="L63" i="11" s="1"/>
  <c r="L63" i="2"/>
  <c r="K63" i="2"/>
  <c r="AA63" i="2"/>
  <c r="T44" i="1"/>
  <c r="S44" i="1"/>
  <c r="Y44" i="1"/>
  <c r="P44" i="1"/>
  <c r="W44" i="1"/>
  <c r="R44" i="1"/>
  <c r="X44" i="1"/>
  <c r="Q44" i="1"/>
  <c r="U44" i="1"/>
  <c r="Z44" i="1"/>
  <c r="I44" i="11" s="1"/>
  <c r="AA44" i="1"/>
  <c r="S51" i="2"/>
  <c r="S45" i="2"/>
  <c r="M45" i="11"/>
  <c r="AP45" i="11" s="1"/>
  <c r="AA41" i="1"/>
  <c r="O39" i="1"/>
  <c r="AA39" i="1" s="1"/>
  <c r="D27" i="11"/>
  <c r="D67" i="11"/>
  <c r="U38" i="1"/>
  <c r="W40" i="1"/>
  <c r="X40" i="1"/>
  <c r="G40" i="11" s="1"/>
  <c r="Y40" i="1"/>
  <c r="H40" i="11" s="1"/>
  <c r="AP40" i="11" s="1"/>
  <c r="Z40" i="1"/>
  <c r="I40" i="11" s="1"/>
  <c r="S9" i="2"/>
  <c r="S56" i="2"/>
  <c r="L31" i="11"/>
  <c r="M13" i="2"/>
  <c r="O13" i="2"/>
  <c r="P13" i="2"/>
  <c r="N13" i="11" s="1"/>
  <c r="N13" i="2"/>
  <c r="K13" i="2"/>
  <c r="L13" i="2"/>
  <c r="AA13" i="2"/>
  <c r="L10" i="11"/>
  <c r="L47" i="11"/>
  <c r="K61" i="11"/>
  <c r="O61" i="11" s="1"/>
  <c r="D22" i="11"/>
  <c r="L41" i="11"/>
  <c r="Q73" i="1"/>
  <c r="D8" i="11"/>
  <c r="D18" i="11"/>
  <c r="D28" i="11"/>
  <c r="D68" i="11"/>
  <c r="Q40" i="1"/>
  <c r="P40" i="11" s="1"/>
  <c r="T40" i="11" s="1"/>
  <c r="S36" i="1"/>
  <c r="AB36" i="1" s="1"/>
  <c r="Q46" i="2"/>
  <c r="S48" i="2"/>
  <c r="M48" i="11"/>
  <c r="K51" i="11"/>
  <c r="O51" i="11" s="1"/>
  <c r="L16" i="11"/>
  <c r="M43" i="2"/>
  <c r="L43" i="11" s="1"/>
  <c r="K43" i="2"/>
  <c r="L43" i="2"/>
  <c r="N43" i="2"/>
  <c r="AA43" i="2"/>
  <c r="O43" i="2"/>
  <c r="P43" i="2"/>
  <c r="N43" i="11" s="1"/>
  <c r="N23" i="2"/>
  <c r="L23" i="2"/>
  <c r="M23" i="2"/>
  <c r="L23" i="11" s="1"/>
  <c r="K23" i="2"/>
  <c r="AA23" i="2"/>
  <c r="O23" i="2"/>
  <c r="P23" i="2"/>
  <c r="N23" i="11" s="1"/>
  <c r="P64" i="2"/>
  <c r="N64" i="11" s="1"/>
  <c r="O64" i="2"/>
  <c r="N64" i="2"/>
  <c r="M64" i="2"/>
  <c r="L64" i="11" s="1"/>
  <c r="K64" i="2"/>
  <c r="L64" i="2"/>
  <c r="AA64" i="2"/>
  <c r="L33" i="2"/>
  <c r="AA33" i="2"/>
  <c r="N33" i="2"/>
  <c r="M33" i="2"/>
  <c r="L33" i="11" s="1"/>
  <c r="K33" i="2"/>
  <c r="O33" i="2"/>
  <c r="P33" i="2"/>
  <c r="N33" i="11" s="1"/>
  <c r="O43" i="1"/>
  <c r="O56" i="11"/>
  <c r="AA42" i="1"/>
  <c r="AA35" i="1"/>
  <c r="R73" i="1"/>
  <c r="D9" i="11"/>
  <c r="J9" i="11" s="1"/>
  <c r="R35" i="1"/>
  <c r="Q45" i="2"/>
  <c r="Q61" i="2"/>
  <c r="S46" i="2"/>
  <c r="L21" i="11"/>
  <c r="K41" i="11"/>
  <c r="K44" i="2"/>
  <c r="R44" i="2" s="1"/>
  <c r="L44" i="2"/>
  <c r="M44" i="2"/>
  <c r="N44" i="2"/>
  <c r="AA44" i="2"/>
  <c r="O44" i="2"/>
  <c r="P44" i="2"/>
  <c r="N44" i="11" s="1"/>
  <c r="L11" i="11"/>
  <c r="O11" i="11" s="1"/>
  <c r="AK75" i="11"/>
  <c r="Q36" i="2"/>
  <c r="Q27" i="2"/>
  <c r="S26" i="2"/>
  <c r="J12" i="11"/>
  <c r="J11" i="11"/>
  <c r="AH9" i="11"/>
  <c r="AA9" i="11"/>
  <c r="AO9" i="11"/>
  <c r="AA45" i="11"/>
  <c r="AH45" i="11"/>
  <c r="AO45" i="11"/>
  <c r="AA49" i="11"/>
  <c r="AH49" i="11"/>
  <c r="AO49" i="11"/>
  <c r="AA55" i="11"/>
  <c r="AH55" i="11"/>
  <c r="AO55" i="11"/>
  <c r="AH59" i="11"/>
  <c r="AO59" i="11"/>
  <c r="AA59" i="11"/>
  <c r="AA65" i="11"/>
  <c r="AH65" i="11"/>
  <c r="AO65" i="11"/>
  <c r="AA69" i="11"/>
  <c r="AO69" i="11"/>
  <c r="AH69" i="11"/>
  <c r="AB9" i="11"/>
  <c r="AI9" i="11"/>
  <c r="AP9" i="11"/>
  <c r="AP15" i="11"/>
  <c r="AB15" i="11"/>
  <c r="AI15" i="11"/>
  <c r="AP19" i="11"/>
  <c r="AB19" i="11"/>
  <c r="AI19" i="11"/>
  <c r="AB25" i="11"/>
  <c r="AP25" i="11"/>
  <c r="AI25" i="11"/>
  <c r="AB29" i="11"/>
  <c r="AP29" i="11"/>
  <c r="AI29" i="11"/>
  <c r="AP35" i="11"/>
  <c r="AI35" i="11"/>
  <c r="AB35" i="11"/>
  <c r="AI45" i="11"/>
  <c r="AI49" i="11"/>
  <c r="AP49" i="11"/>
  <c r="AB49" i="11"/>
  <c r="AI55" i="11"/>
  <c r="AP55" i="11"/>
  <c r="AB55" i="11"/>
  <c r="AP59" i="11"/>
  <c r="AB59" i="11"/>
  <c r="AI59" i="11"/>
  <c r="AB65" i="11"/>
  <c r="AI65" i="11"/>
  <c r="AP65" i="11"/>
  <c r="AB69" i="11"/>
  <c r="AP69" i="11"/>
  <c r="AI69" i="11"/>
  <c r="AJ9" i="11"/>
  <c r="AC9" i="11"/>
  <c r="AQ9" i="11"/>
  <c r="AQ45" i="11"/>
  <c r="AC45" i="11"/>
  <c r="AJ45" i="11"/>
  <c r="AQ49" i="11"/>
  <c r="AJ49" i="11"/>
  <c r="AC49" i="11"/>
  <c r="AQ55" i="11"/>
  <c r="AC55" i="11"/>
  <c r="AJ55" i="11"/>
  <c r="AC59" i="11"/>
  <c r="AQ59" i="11"/>
  <c r="AJ59" i="11"/>
  <c r="AJ65" i="11"/>
  <c r="AQ65" i="11"/>
  <c r="AC65" i="11"/>
  <c r="AJ69" i="11"/>
  <c r="AC69" i="11"/>
  <c r="AQ69" i="11"/>
  <c r="AC9" i="1"/>
  <c r="AC45" i="1"/>
  <c r="AC49" i="1"/>
  <c r="AC55" i="1"/>
  <c r="AC59" i="1"/>
  <c r="AC65" i="1"/>
  <c r="AC69" i="1"/>
  <c r="AO6" i="11"/>
  <c r="AH6" i="11"/>
  <c r="AA6" i="11"/>
  <c r="AO10" i="11"/>
  <c r="AA10" i="11"/>
  <c r="AH10" i="11"/>
  <c r="AA46" i="11"/>
  <c r="AO46" i="11"/>
  <c r="AH46" i="11"/>
  <c r="AH50" i="11"/>
  <c r="AA50" i="11"/>
  <c r="AO50" i="11"/>
  <c r="AO56" i="11"/>
  <c r="AA56" i="11"/>
  <c r="AH56" i="11"/>
  <c r="AA60" i="11"/>
  <c r="AO60" i="11"/>
  <c r="AH60" i="11"/>
  <c r="AO66" i="11"/>
  <c r="AH66" i="11"/>
  <c r="AA66" i="11"/>
  <c r="AO70" i="11"/>
  <c r="AA70" i="11"/>
  <c r="AH70" i="11"/>
  <c r="AI6" i="11"/>
  <c r="AB6" i="11"/>
  <c r="AP6" i="11"/>
  <c r="AI10" i="11"/>
  <c r="AB10" i="11"/>
  <c r="AP10" i="11"/>
  <c r="AI16" i="11"/>
  <c r="AB16" i="11"/>
  <c r="AP16" i="11"/>
  <c r="AI20" i="11"/>
  <c r="AB20" i="11"/>
  <c r="AP20" i="11"/>
  <c r="AB26" i="11"/>
  <c r="AP26" i="11"/>
  <c r="AI26" i="11"/>
  <c r="AB30" i="11"/>
  <c r="AP30" i="11"/>
  <c r="AI30" i="11"/>
  <c r="AB36" i="11"/>
  <c r="AI36" i="11"/>
  <c r="AP36" i="11"/>
  <c r="AB46" i="11"/>
  <c r="AP46" i="11"/>
  <c r="AI46" i="11"/>
  <c r="AB50" i="11"/>
  <c r="AP50" i="11"/>
  <c r="AI50" i="11"/>
  <c r="AI56" i="11"/>
  <c r="AP56" i="11"/>
  <c r="AB56" i="11"/>
  <c r="AI60" i="11"/>
  <c r="AP60" i="11"/>
  <c r="AB60" i="11"/>
  <c r="AB66" i="11"/>
  <c r="AP66" i="11"/>
  <c r="AI66" i="11"/>
  <c r="AB70" i="11"/>
  <c r="AI70" i="11"/>
  <c r="AP70" i="11"/>
  <c r="AC6" i="11"/>
  <c r="AQ6" i="11"/>
  <c r="AJ6" i="11"/>
  <c r="AC10" i="11"/>
  <c r="AQ10" i="11"/>
  <c r="AJ10" i="11"/>
  <c r="AJ46" i="11"/>
  <c r="AC46" i="11"/>
  <c r="AQ46" i="11"/>
  <c r="AJ50" i="11"/>
  <c r="AC50" i="11"/>
  <c r="AQ50" i="11"/>
  <c r="AQ56" i="11"/>
  <c r="AJ56" i="11"/>
  <c r="AC56" i="11"/>
  <c r="AQ60" i="11"/>
  <c r="AC60" i="11"/>
  <c r="AJ60" i="11"/>
  <c r="AC66" i="11"/>
  <c r="AJ66" i="11"/>
  <c r="AQ66" i="11"/>
  <c r="AC70" i="11"/>
  <c r="AQ70" i="11"/>
  <c r="AJ70" i="11"/>
  <c r="AC6" i="1"/>
  <c r="AC10" i="1"/>
  <c r="AC46" i="1"/>
  <c r="AC50" i="1"/>
  <c r="AC56" i="1"/>
  <c r="AC60" i="1"/>
  <c r="AC66" i="1"/>
  <c r="AC70" i="1"/>
  <c r="AH7" i="11"/>
  <c r="AO7" i="11"/>
  <c r="AA7" i="11"/>
  <c r="AO47" i="11"/>
  <c r="AA47" i="11"/>
  <c r="AH47" i="11"/>
  <c r="AA57" i="11"/>
  <c r="AO57" i="11"/>
  <c r="AH57" i="11"/>
  <c r="AH67" i="11"/>
  <c r="AA67" i="11"/>
  <c r="AO67" i="11"/>
  <c r="AP7" i="11"/>
  <c r="AB7" i="11"/>
  <c r="AI7" i="11"/>
  <c r="AB17" i="11"/>
  <c r="AI17" i="11"/>
  <c r="AP17" i="11"/>
  <c r="AP27" i="11"/>
  <c r="AI27" i="11"/>
  <c r="AB27" i="11"/>
  <c r="AB47" i="11"/>
  <c r="AP47" i="11"/>
  <c r="AI47" i="11"/>
  <c r="AB57" i="11"/>
  <c r="AP57" i="11"/>
  <c r="AI57" i="11"/>
  <c r="AP67" i="11"/>
  <c r="AI67" i="11"/>
  <c r="AB67" i="11"/>
  <c r="AJ7" i="11"/>
  <c r="AC7" i="11"/>
  <c r="AQ7" i="11"/>
  <c r="AC47" i="11"/>
  <c r="AJ47" i="11"/>
  <c r="AQ47" i="11"/>
  <c r="AJ57" i="11"/>
  <c r="AQ57" i="11"/>
  <c r="AC57" i="11"/>
  <c r="AC67" i="11"/>
  <c r="AJ67" i="11"/>
  <c r="AQ67" i="11"/>
  <c r="AC7" i="1"/>
  <c r="AC11" i="1"/>
  <c r="AC47" i="1"/>
  <c r="AC51" i="1"/>
  <c r="AC57" i="1"/>
  <c r="AC61" i="1"/>
  <c r="AC67" i="1"/>
  <c r="AA8" i="11"/>
  <c r="AH8" i="11"/>
  <c r="AO8" i="11"/>
  <c r="AH48" i="11"/>
  <c r="AA48" i="11"/>
  <c r="AO48" i="11"/>
  <c r="AO58" i="11"/>
  <c r="AH58" i="11"/>
  <c r="AA58" i="11"/>
  <c r="AA68" i="11"/>
  <c r="AO68" i="11"/>
  <c r="AH68" i="11"/>
  <c r="AI8" i="11"/>
  <c r="AB8" i="11"/>
  <c r="AP8" i="11"/>
  <c r="AB18" i="11"/>
  <c r="AP18" i="11"/>
  <c r="AI18" i="11"/>
  <c r="AI28" i="11"/>
  <c r="AP28" i="11"/>
  <c r="AB28" i="11"/>
  <c r="AB38" i="11"/>
  <c r="AP38" i="11"/>
  <c r="AI38" i="11"/>
  <c r="AP48" i="11"/>
  <c r="AB48" i="11"/>
  <c r="AI48" i="11"/>
  <c r="AB58" i="11"/>
  <c r="AI58" i="11"/>
  <c r="AP58" i="11"/>
  <c r="AI68" i="11"/>
  <c r="AP68" i="11"/>
  <c r="AB68" i="11"/>
  <c r="AQ8" i="11"/>
  <c r="AC8" i="11"/>
  <c r="AJ8" i="11"/>
  <c r="AC48" i="11"/>
  <c r="AQ48" i="11"/>
  <c r="AJ48" i="11"/>
  <c r="AC58" i="11"/>
  <c r="AQ58" i="11"/>
  <c r="AJ58" i="11"/>
  <c r="AQ68" i="11"/>
  <c r="AC68" i="11"/>
  <c r="AJ68" i="11"/>
  <c r="AC8" i="1"/>
  <c r="AC12" i="1"/>
  <c r="AC48" i="1"/>
  <c r="AC52" i="1"/>
  <c r="AC58" i="1"/>
  <c r="AC62" i="1"/>
  <c r="AC68" i="1"/>
  <c r="Q60" i="2"/>
  <c r="K60" i="11"/>
  <c r="O60" i="11" s="1"/>
  <c r="K57" i="11"/>
  <c r="O57" i="11" s="1"/>
  <c r="K55" i="11"/>
  <c r="O55" i="11" s="1"/>
  <c r="L36" i="11"/>
  <c r="Q15" i="2"/>
  <c r="D69" i="11"/>
  <c r="AL69" i="11" s="1"/>
  <c r="D38" i="11"/>
  <c r="D29" i="11"/>
  <c r="D17" i="11"/>
  <c r="L15" i="11"/>
  <c r="Q19" i="2"/>
  <c r="Q26" i="2"/>
  <c r="L26" i="11"/>
  <c r="L37" i="11"/>
  <c r="L40" i="11"/>
  <c r="S27" i="2"/>
  <c r="Q25" i="2"/>
  <c r="S16" i="2"/>
  <c r="S30" i="2"/>
  <c r="Q40" i="2"/>
  <c r="Q16" i="2"/>
  <c r="Q30" i="2"/>
  <c r="AR75" i="11"/>
  <c r="Q29" i="2"/>
  <c r="Q39" i="2"/>
  <c r="N39" i="11"/>
  <c r="AD75" i="11"/>
  <c r="L39" i="11"/>
  <c r="L38" i="11"/>
  <c r="L30" i="11"/>
  <c r="L29" i="11"/>
  <c r="Q28" i="2"/>
  <c r="L28" i="11"/>
  <c r="L20" i="11"/>
  <c r="L19" i="11"/>
  <c r="L18" i="11"/>
  <c r="L17" i="11"/>
  <c r="Q6" i="2"/>
  <c r="K46" i="11"/>
  <c r="O46" i="11" s="1"/>
  <c r="K49" i="11"/>
  <c r="O49" i="11" s="1"/>
  <c r="K50" i="11"/>
  <c r="O50" i="11" s="1"/>
  <c r="K59" i="11"/>
  <c r="O59" i="11" s="1"/>
  <c r="Q58" i="2"/>
  <c r="K58" i="11"/>
  <c r="O58" i="11" s="1"/>
  <c r="Q57" i="2"/>
  <c r="Q50" i="2"/>
  <c r="Q48" i="2"/>
  <c r="Q47" i="2"/>
  <c r="K47" i="11"/>
  <c r="O47" i="11" s="1"/>
  <c r="AQ16" i="11"/>
  <c r="AJ16" i="11"/>
  <c r="AC16" i="11"/>
  <c r="AQ20" i="11"/>
  <c r="AJ20" i="11"/>
  <c r="AC20" i="11"/>
  <c r="AC26" i="11"/>
  <c r="AJ26" i="11"/>
  <c r="AQ26" i="11"/>
  <c r="AC30" i="11"/>
  <c r="AQ30" i="11"/>
  <c r="AJ30" i="11"/>
  <c r="AC36" i="11"/>
  <c r="AJ36" i="11"/>
  <c r="AQ36" i="11"/>
  <c r="AC40" i="11"/>
  <c r="AJ40" i="11"/>
  <c r="AQ40" i="11"/>
  <c r="AJ17" i="11"/>
  <c r="AQ17" i="11"/>
  <c r="AC17" i="11"/>
  <c r="AC27" i="11"/>
  <c r="AQ27" i="11"/>
  <c r="AJ27" i="11"/>
  <c r="AC18" i="11"/>
  <c r="AQ18" i="11"/>
  <c r="AJ18" i="11"/>
  <c r="AQ28" i="11"/>
  <c r="AJ28" i="11"/>
  <c r="AC28" i="11"/>
  <c r="AJ38" i="11"/>
  <c r="AQ38" i="11"/>
  <c r="AC38" i="11"/>
  <c r="AC15" i="1"/>
  <c r="I15" i="11"/>
  <c r="AC19" i="11"/>
  <c r="AJ19" i="11"/>
  <c r="AQ19" i="11"/>
  <c r="AJ25" i="11"/>
  <c r="AC25" i="11"/>
  <c r="AQ25" i="11"/>
  <c r="AJ29" i="11"/>
  <c r="AQ29" i="11"/>
  <c r="AC29" i="11"/>
  <c r="G41" i="11"/>
  <c r="G38" i="11"/>
  <c r="G36" i="11"/>
  <c r="G32" i="11"/>
  <c r="J32" i="11" s="1"/>
  <c r="G31" i="11"/>
  <c r="J31" i="11" s="1"/>
  <c r="G30" i="11"/>
  <c r="J30" i="11" s="1"/>
  <c r="G29" i="11"/>
  <c r="G28" i="11"/>
  <c r="J28" i="11" s="1"/>
  <c r="G27" i="11"/>
  <c r="J27" i="11" s="1"/>
  <c r="G26" i="11"/>
  <c r="J26" i="11" s="1"/>
  <c r="G25" i="11"/>
  <c r="G22" i="11"/>
  <c r="J22" i="11" s="1"/>
  <c r="G21" i="11"/>
  <c r="J21" i="11" s="1"/>
  <c r="G20" i="11"/>
  <c r="G19" i="11"/>
  <c r="G18" i="11"/>
  <c r="G17" i="11"/>
  <c r="G16" i="11"/>
  <c r="G15" i="11"/>
  <c r="D25" i="11"/>
  <c r="D19" i="11"/>
  <c r="D15" i="11"/>
  <c r="D7" i="11"/>
  <c r="J7" i="11" s="1"/>
  <c r="D62" i="11"/>
  <c r="J62" i="11" s="1"/>
  <c r="D61" i="11"/>
  <c r="J61" i="11" s="1"/>
  <c r="AB61" i="1"/>
  <c r="D60" i="11"/>
  <c r="D59" i="11"/>
  <c r="D58" i="11"/>
  <c r="D57" i="11"/>
  <c r="D56" i="11"/>
  <c r="D55" i="11"/>
  <c r="D45" i="11"/>
  <c r="D46" i="11"/>
  <c r="D47" i="11"/>
  <c r="D48" i="11"/>
  <c r="D49" i="11"/>
  <c r="D50" i="11"/>
  <c r="D51" i="11"/>
  <c r="J51" i="11" s="1"/>
  <c r="D52" i="11"/>
  <c r="J52" i="11" s="1"/>
  <c r="U9" i="11"/>
  <c r="V9" i="11" s="1"/>
  <c r="K9" i="11"/>
  <c r="O9" i="11" s="1"/>
  <c r="P9" i="11"/>
  <c r="T9" i="11" s="1"/>
  <c r="U8" i="11"/>
  <c r="V8" i="11" s="1"/>
  <c r="K8" i="11"/>
  <c r="O8" i="11" s="1"/>
  <c r="P8" i="11"/>
  <c r="T8" i="11" s="1"/>
  <c r="U7" i="11"/>
  <c r="V7" i="11" s="1"/>
  <c r="K7" i="11"/>
  <c r="O7" i="11" s="1"/>
  <c r="P7" i="11"/>
  <c r="T7" i="11" s="1"/>
  <c r="K6" i="11"/>
  <c r="O6" i="11" s="1"/>
  <c r="U6" i="11"/>
  <c r="V6" i="11" s="1"/>
  <c r="P6" i="11"/>
  <c r="T6" i="11" s="1"/>
  <c r="U5" i="11"/>
  <c r="V5" i="11" s="1"/>
  <c r="K5" i="11"/>
  <c r="O5" i="11" s="1"/>
  <c r="P5" i="11"/>
  <c r="T5" i="11" s="1"/>
  <c r="U10" i="11"/>
  <c r="V10" i="11" s="1"/>
  <c r="K10" i="11"/>
  <c r="O10" i="11" s="1"/>
  <c r="P10" i="11"/>
  <c r="T10" i="11" s="1"/>
  <c r="K15" i="11"/>
  <c r="P15" i="11"/>
  <c r="T15" i="11" s="1"/>
  <c r="K16" i="11"/>
  <c r="O16" i="11" s="1"/>
  <c r="P16" i="11"/>
  <c r="T16" i="11" s="1"/>
  <c r="K17" i="11"/>
  <c r="O17" i="11" s="1"/>
  <c r="P17" i="11"/>
  <c r="T17" i="11" s="1"/>
  <c r="K18" i="11"/>
  <c r="P18" i="11"/>
  <c r="T18" i="11" s="1"/>
  <c r="K19" i="11"/>
  <c r="O19" i="11" s="1"/>
  <c r="P19" i="11"/>
  <c r="T19" i="11" s="1"/>
  <c r="K20" i="11"/>
  <c r="P20" i="11"/>
  <c r="T20" i="11" s="1"/>
  <c r="K25" i="11"/>
  <c r="O25" i="11" s="1"/>
  <c r="P25" i="11"/>
  <c r="T25" i="11" s="1"/>
  <c r="K26" i="11"/>
  <c r="P26" i="11"/>
  <c r="T26" i="11" s="1"/>
  <c r="K27" i="11"/>
  <c r="O27" i="11" s="1"/>
  <c r="P27" i="11"/>
  <c r="T27" i="11" s="1"/>
  <c r="K28" i="11"/>
  <c r="P28" i="11"/>
  <c r="T28" i="11" s="1"/>
  <c r="K29" i="11"/>
  <c r="O29" i="11" s="1"/>
  <c r="P29" i="11"/>
  <c r="T29" i="11" s="1"/>
  <c r="K30" i="11"/>
  <c r="P30" i="11"/>
  <c r="T30" i="11" s="1"/>
  <c r="K35" i="11"/>
  <c r="O35" i="11" s="1"/>
  <c r="P35" i="11"/>
  <c r="T35" i="11" s="1"/>
  <c r="K36" i="11"/>
  <c r="P36" i="11"/>
  <c r="T36" i="11" s="1"/>
  <c r="K38" i="11"/>
  <c r="P38" i="11"/>
  <c r="T38" i="11" s="1"/>
  <c r="K40" i="11"/>
  <c r="U73" i="11"/>
  <c r="V73" i="11" s="1"/>
  <c r="P73" i="11"/>
  <c r="T73" i="11" s="1"/>
  <c r="AL70" i="11"/>
  <c r="X69" i="11"/>
  <c r="J69" i="11"/>
  <c r="AE68" i="11"/>
  <c r="AK68" i="11" s="1"/>
  <c r="X68" i="11"/>
  <c r="AL68" i="11"/>
  <c r="AR68" i="11" s="1"/>
  <c r="J68" i="11"/>
  <c r="AL67" i="11"/>
  <c r="X67" i="11"/>
  <c r="J67" i="11"/>
  <c r="AE67" i="11"/>
  <c r="X66" i="11"/>
  <c r="AD66" i="11" s="1"/>
  <c r="AL66" i="11"/>
  <c r="J66" i="11"/>
  <c r="AE66" i="11"/>
  <c r="X65" i="11"/>
  <c r="AK74" i="1"/>
  <c r="AA74" i="3" s="1"/>
  <c r="AE74" i="3" s="1"/>
  <c r="AH74" i="1"/>
  <c r="W74" i="2" s="1"/>
  <c r="AA74" i="2" s="1"/>
  <c r="P73" i="1"/>
  <c r="AK73" i="1"/>
  <c r="AA73" i="3" s="1"/>
  <c r="AE73" i="3" s="1"/>
  <c r="AH73" i="1"/>
  <c r="W73" i="2" s="1"/>
  <c r="AA73" i="2" s="1"/>
  <c r="J10" i="11"/>
  <c r="J8" i="11"/>
  <c r="J5" i="11"/>
  <c r="S38" i="2"/>
  <c r="Q35" i="2"/>
  <c r="S20" i="2"/>
  <c r="S19" i="2"/>
  <c r="AC17" i="1"/>
  <c r="AC21" i="1"/>
  <c r="AC27" i="1"/>
  <c r="AC31" i="1"/>
  <c r="AC41" i="1"/>
  <c r="AC18" i="1"/>
  <c r="AC22" i="1"/>
  <c r="AC28" i="1"/>
  <c r="AC32" i="1"/>
  <c r="AC38" i="1"/>
  <c r="AC19" i="1"/>
  <c r="AC25" i="1"/>
  <c r="AC29" i="1"/>
  <c r="AC20" i="1"/>
  <c r="AC26" i="1"/>
  <c r="AC30" i="1"/>
  <c r="AC36" i="1"/>
  <c r="AC16" i="1"/>
  <c r="S37" i="2"/>
  <c r="Q37" i="2"/>
  <c r="S25" i="2"/>
  <c r="Q20" i="2"/>
  <c r="S18" i="2"/>
  <c r="S17" i="2"/>
  <c r="Q17" i="2"/>
  <c r="Q18" i="2"/>
  <c r="S35" i="2"/>
  <c r="Q12" i="2"/>
  <c r="Q38" i="2"/>
  <c r="S10" i="2"/>
  <c r="Q8" i="2"/>
  <c r="R61" i="2"/>
  <c r="Q59" i="2"/>
  <c r="Q10" i="2"/>
  <c r="S41" i="2"/>
  <c r="S21" i="2"/>
  <c r="Q21" i="2"/>
  <c r="S60" i="2"/>
  <c r="S40" i="2"/>
  <c r="S62" i="2"/>
  <c r="S55" i="2"/>
  <c r="R58" i="2"/>
  <c r="R38" i="2"/>
  <c r="R18" i="2"/>
  <c r="R57" i="2"/>
  <c r="S39" i="2"/>
  <c r="P73" i="2"/>
  <c r="N73" i="11" s="1"/>
  <c r="N73" i="2"/>
  <c r="O73" i="2"/>
  <c r="M73" i="11" s="1"/>
  <c r="M73" i="2"/>
  <c r="L73" i="2"/>
  <c r="K73" i="2"/>
  <c r="R31" i="2"/>
  <c r="R46" i="2"/>
  <c r="R26" i="2"/>
  <c r="R6" i="2"/>
  <c r="S58" i="2"/>
  <c r="S22" i="2"/>
  <c r="R29" i="2"/>
  <c r="S29" i="2"/>
  <c r="R21" i="2"/>
  <c r="Q5" i="2"/>
  <c r="R52" i="2"/>
  <c r="R32" i="2"/>
  <c r="R12" i="2"/>
  <c r="R47" i="2"/>
  <c r="R17" i="2"/>
  <c r="S5" i="2"/>
  <c r="R40" i="2"/>
  <c r="R20" i="2"/>
  <c r="R59" i="2"/>
  <c r="R56" i="2"/>
  <c r="R37" i="2"/>
  <c r="R60" i="2"/>
  <c r="R55" i="2"/>
  <c r="R19" i="2"/>
  <c r="S59" i="2"/>
  <c r="S15" i="2"/>
  <c r="R48" i="2"/>
  <c r="R28" i="2"/>
  <c r="R8" i="2"/>
  <c r="S28" i="2"/>
  <c r="S32" i="2"/>
  <c r="R27" i="2"/>
  <c r="R51" i="2"/>
  <c r="R7" i="2"/>
  <c r="R36" i="2"/>
  <c r="R16" i="2"/>
  <c r="S42" i="2"/>
  <c r="R49" i="2"/>
  <c r="S49" i="2"/>
  <c r="R5" i="2"/>
  <c r="R45" i="2"/>
  <c r="R9" i="2"/>
  <c r="R62" i="2"/>
  <c r="R42" i="2"/>
  <c r="R22" i="2"/>
  <c r="O74" i="2"/>
  <c r="M74" i="11" s="1"/>
  <c r="M74" i="2"/>
  <c r="P74" i="2"/>
  <c r="N74" i="11" s="1"/>
  <c r="N74" i="2"/>
  <c r="K74" i="2"/>
  <c r="L74" i="2"/>
  <c r="R11" i="2"/>
  <c r="R41" i="2"/>
  <c r="R50" i="2"/>
  <c r="R30" i="2"/>
  <c r="R10" i="2"/>
  <c r="R39" i="2"/>
  <c r="R15" i="2"/>
  <c r="AB62" i="1"/>
  <c r="AB52" i="1"/>
  <c r="AB32" i="1"/>
  <c r="AB12" i="1"/>
  <c r="AB22" i="1"/>
  <c r="AB51" i="1"/>
  <c r="AB31" i="1"/>
  <c r="AB41" i="1"/>
  <c r="AB11" i="1"/>
  <c r="AB21" i="1"/>
  <c r="AB70" i="1"/>
  <c r="AB69" i="1"/>
  <c r="AB68" i="1"/>
  <c r="AB67" i="1"/>
  <c r="AB66" i="1"/>
  <c r="AB65" i="1"/>
  <c r="AB60" i="1"/>
  <c r="AB59" i="1"/>
  <c r="AB58" i="1"/>
  <c r="AB57" i="1"/>
  <c r="AB56" i="1"/>
  <c r="AB55" i="1"/>
  <c r="AB50" i="1"/>
  <c r="AB49" i="1"/>
  <c r="AB48" i="1"/>
  <c r="AB47" i="1"/>
  <c r="AB46" i="1"/>
  <c r="AB45" i="1"/>
  <c r="AB38" i="1"/>
  <c r="AB30" i="1"/>
  <c r="AB29" i="1"/>
  <c r="AB28" i="1"/>
  <c r="AB27" i="1"/>
  <c r="AB26" i="1"/>
  <c r="AB25" i="1"/>
  <c r="AB20" i="1"/>
  <c r="AB19" i="1"/>
  <c r="AB18" i="1"/>
  <c r="AB17" i="1"/>
  <c r="AB16" i="1"/>
  <c r="AB15" i="1"/>
  <c r="AB10" i="1"/>
  <c r="AB9" i="1"/>
  <c r="AB8" i="1"/>
  <c r="AB7" i="1"/>
  <c r="AB6" i="1"/>
  <c r="AB5" i="1"/>
  <c r="N74" i="1"/>
  <c r="N73" i="1"/>
  <c r="AA73" i="1" s="1"/>
  <c r="Q43" i="2" l="1"/>
  <c r="J35" i="11"/>
  <c r="AC13" i="11"/>
  <c r="AJ13" i="11"/>
  <c r="AQ13" i="11"/>
  <c r="Q14" i="2"/>
  <c r="M14" i="11"/>
  <c r="S14" i="2"/>
  <c r="AB35" i="1"/>
  <c r="AL65" i="11"/>
  <c r="AD67" i="11"/>
  <c r="J70" i="11"/>
  <c r="AB45" i="11"/>
  <c r="AC33" i="11"/>
  <c r="AJ33" i="11"/>
  <c r="AQ33" i="11"/>
  <c r="Q64" i="2"/>
  <c r="R13" i="2"/>
  <c r="Q13" i="2"/>
  <c r="K13" i="11"/>
  <c r="K44" i="11"/>
  <c r="P44" i="11"/>
  <c r="T44" i="11" s="1"/>
  <c r="L53" i="11"/>
  <c r="AO34" i="11"/>
  <c r="AH34" i="11"/>
  <c r="AA34" i="11"/>
  <c r="Q33" i="2"/>
  <c r="M33" i="11"/>
  <c r="S33" i="2"/>
  <c r="S54" i="2"/>
  <c r="M54" i="11"/>
  <c r="AE70" i="11"/>
  <c r="O41" i="11"/>
  <c r="R43" i="2"/>
  <c r="AC54" i="11"/>
  <c r="AJ54" i="11"/>
  <c r="AQ54" i="11"/>
  <c r="AH33" i="11"/>
  <c r="AA33" i="11"/>
  <c r="AO33" i="11"/>
  <c r="S13" i="2"/>
  <c r="M13" i="11"/>
  <c r="G44" i="11"/>
  <c r="AA63" i="11"/>
  <c r="AO63" i="11"/>
  <c r="AH63" i="11"/>
  <c r="R14" i="2"/>
  <c r="K14" i="11"/>
  <c r="AC53" i="11"/>
  <c r="AJ53" i="11"/>
  <c r="AQ53" i="11"/>
  <c r="O31" i="11"/>
  <c r="R23" i="2"/>
  <c r="K23" i="11"/>
  <c r="R33" i="2"/>
  <c r="K33" i="11"/>
  <c r="S53" i="2"/>
  <c r="M53" i="11"/>
  <c r="AI40" i="11"/>
  <c r="Q44" i="2"/>
  <c r="M44" i="11"/>
  <c r="S44" i="2"/>
  <c r="O45" i="11"/>
  <c r="S64" i="2"/>
  <c r="M64" i="11"/>
  <c r="L13" i="11"/>
  <c r="AB44" i="1"/>
  <c r="D44" i="11"/>
  <c r="Q24" i="2"/>
  <c r="R24" i="2"/>
  <c r="K24" i="11"/>
  <c r="L14" i="11"/>
  <c r="S37" i="1"/>
  <c r="Y37" i="1"/>
  <c r="Z37" i="1"/>
  <c r="I37" i="11" s="1"/>
  <c r="X37" i="1"/>
  <c r="T37" i="1"/>
  <c r="P37" i="1"/>
  <c r="U37" i="1"/>
  <c r="W37" i="1"/>
  <c r="Q37" i="1"/>
  <c r="R37" i="1"/>
  <c r="AQ34" i="11"/>
  <c r="AJ34" i="11"/>
  <c r="AC34" i="11"/>
  <c r="R63" i="2"/>
  <c r="K63" i="11"/>
  <c r="AJ14" i="11"/>
  <c r="AC14" i="11"/>
  <c r="AQ14" i="11"/>
  <c r="AA23" i="11"/>
  <c r="AH23" i="11"/>
  <c r="AO23" i="11"/>
  <c r="Q34" i="2"/>
  <c r="AC35" i="1"/>
  <c r="J17" i="11"/>
  <c r="AJ35" i="11"/>
  <c r="AR69" i="11"/>
  <c r="AB40" i="11"/>
  <c r="AJ64" i="11"/>
  <c r="AQ64" i="11"/>
  <c r="AC64" i="11"/>
  <c r="AC44" i="1"/>
  <c r="H44" i="11"/>
  <c r="S63" i="2"/>
  <c r="M63" i="11"/>
  <c r="Q54" i="2"/>
  <c r="S34" i="2"/>
  <c r="M34" i="11"/>
  <c r="V73" i="1"/>
  <c r="Z73" i="1"/>
  <c r="I73" i="11" s="1"/>
  <c r="AC73" i="11" s="1"/>
  <c r="Y73" i="1"/>
  <c r="X73" i="1"/>
  <c r="W73" i="1"/>
  <c r="T73" i="1"/>
  <c r="D73" i="11" s="1"/>
  <c r="R34" i="2"/>
  <c r="K34" i="11"/>
  <c r="AE65" i="11"/>
  <c r="AK65" i="11" s="1"/>
  <c r="AQ35" i="11"/>
  <c r="AJ23" i="11"/>
  <c r="AC23" i="11"/>
  <c r="AQ23" i="11"/>
  <c r="S43" i="2"/>
  <c r="M43" i="11"/>
  <c r="AJ44" i="11"/>
  <c r="AC44" i="11"/>
  <c r="AQ44" i="11"/>
  <c r="AC63" i="11"/>
  <c r="AQ63" i="11"/>
  <c r="AJ63" i="11"/>
  <c r="D36" i="11"/>
  <c r="AL36" i="11" s="1"/>
  <c r="AQ24" i="11"/>
  <c r="AJ24" i="11"/>
  <c r="AC24" i="11"/>
  <c r="Q53" i="2"/>
  <c r="K53" i="11"/>
  <c r="R53" i="2"/>
  <c r="R54" i="2"/>
  <c r="K54" i="11"/>
  <c r="Z42" i="1"/>
  <c r="I42" i="11" s="1"/>
  <c r="Y42" i="1"/>
  <c r="X42" i="1"/>
  <c r="W42" i="1"/>
  <c r="R42" i="1"/>
  <c r="T42" i="1"/>
  <c r="S42" i="1"/>
  <c r="O74" i="1"/>
  <c r="U42" i="1"/>
  <c r="Q42" i="1"/>
  <c r="P42" i="1"/>
  <c r="D41" i="11"/>
  <c r="J41" i="11" s="1"/>
  <c r="R64" i="2"/>
  <c r="K64" i="11"/>
  <c r="AO24" i="11"/>
  <c r="AH24" i="11"/>
  <c r="AA24" i="11"/>
  <c r="AH64" i="11"/>
  <c r="AA64" i="11"/>
  <c r="AO64" i="11"/>
  <c r="Q63" i="2"/>
  <c r="D40" i="11"/>
  <c r="AC40" i="1"/>
  <c r="L44" i="11"/>
  <c r="Y43" i="1"/>
  <c r="T43" i="1"/>
  <c r="S43" i="1"/>
  <c r="W43" i="1"/>
  <c r="G43" i="11" s="1"/>
  <c r="R43" i="1"/>
  <c r="U43" i="1"/>
  <c r="P43" i="1"/>
  <c r="Q43" i="1"/>
  <c r="X43" i="1"/>
  <c r="Z43" i="1"/>
  <c r="I43" i="11" s="1"/>
  <c r="AA43" i="1"/>
  <c r="Q23" i="2"/>
  <c r="M23" i="11"/>
  <c r="S23" i="2"/>
  <c r="T39" i="1"/>
  <c r="P39" i="1"/>
  <c r="U39" i="1"/>
  <c r="Q39" i="1"/>
  <c r="S39" i="1"/>
  <c r="Z39" i="1"/>
  <c r="I39" i="11" s="1"/>
  <c r="AJ39" i="11" s="1"/>
  <c r="Y39" i="1"/>
  <c r="X39" i="1"/>
  <c r="W39" i="1"/>
  <c r="G39" i="11" s="1"/>
  <c r="R39" i="1"/>
  <c r="S24" i="2"/>
  <c r="M24" i="11"/>
  <c r="L54" i="11"/>
  <c r="S73" i="1"/>
  <c r="O30" i="11"/>
  <c r="O18" i="11"/>
  <c r="AD69" i="11"/>
  <c r="AR65" i="11"/>
  <c r="AR66" i="11"/>
  <c r="AD68" i="11"/>
  <c r="AD65" i="11"/>
  <c r="AR67" i="11"/>
  <c r="AR70" i="11"/>
  <c r="AK66" i="11"/>
  <c r="AK67" i="11"/>
  <c r="AK70" i="11"/>
  <c r="AL20" i="11"/>
  <c r="O40" i="11"/>
  <c r="O38" i="11"/>
  <c r="O36" i="11"/>
  <c r="O15" i="11"/>
  <c r="X10" i="11"/>
  <c r="AD10" i="11" s="1"/>
  <c r="AE69" i="11"/>
  <c r="AK69" i="11" s="1"/>
  <c r="J38" i="11"/>
  <c r="X38" i="11"/>
  <c r="AL10" i="11"/>
  <c r="AR10" i="11" s="1"/>
  <c r="AL8" i="11"/>
  <c r="AR8" i="11" s="1"/>
  <c r="X5" i="11"/>
  <c r="AD5" i="11" s="1"/>
  <c r="AE10" i="11"/>
  <c r="AK10" i="11" s="1"/>
  <c r="AE6" i="11"/>
  <c r="AK6" i="11" s="1"/>
  <c r="O20" i="11"/>
  <c r="O26" i="11"/>
  <c r="L74" i="11"/>
  <c r="L73" i="11"/>
  <c r="O28" i="11"/>
  <c r="AL9" i="11"/>
  <c r="AR9" i="11" s="1"/>
  <c r="X6" i="11"/>
  <c r="AD6" i="11" s="1"/>
  <c r="X28" i="11"/>
  <c r="K73" i="11"/>
  <c r="AL27" i="11"/>
  <c r="AE27" i="11"/>
  <c r="X26" i="11"/>
  <c r="X19" i="11"/>
  <c r="X18" i="11"/>
  <c r="X8" i="11"/>
  <c r="AD8" i="11" s="1"/>
  <c r="X7" i="11"/>
  <c r="AD7" i="11" s="1"/>
  <c r="AL6" i="11"/>
  <c r="AR6" i="11" s="1"/>
  <c r="AC15" i="11"/>
  <c r="AJ15" i="11"/>
  <c r="AQ15" i="11"/>
  <c r="J15" i="11"/>
  <c r="AH40" i="11"/>
  <c r="AA40" i="11"/>
  <c r="AO40" i="11"/>
  <c r="J40" i="11"/>
  <c r="AO39" i="11"/>
  <c r="AA39" i="11"/>
  <c r="AH39" i="11"/>
  <c r="AA38" i="11"/>
  <c r="AH38" i="11"/>
  <c r="AO38" i="11"/>
  <c r="AA36" i="11"/>
  <c r="AH36" i="11"/>
  <c r="AO36" i="11"/>
  <c r="AO35" i="11"/>
  <c r="AA35" i="11"/>
  <c r="AH35" i="11"/>
  <c r="AO30" i="11"/>
  <c r="AA30" i="11"/>
  <c r="AH30" i="11"/>
  <c r="AA29" i="11"/>
  <c r="AH29" i="11"/>
  <c r="AO29" i="11"/>
  <c r="J29" i="11"/>
  <c r="AA28" i="11"/>
  <c r="AH28" i="11"/>
  <c r="AO28" i="11"/>
  <c r="AH27" i="11"/>
  <c r="AO27" i="11"/>
  <c r="AA27" i="11"/>
  <c r="AO26" i="11"/>
  <c r="AH26" i="11"/>
  <c r="AA26" i="11"/>
  <c r="AA25" i="11"/>
  <c r="AO25" i="11"/>
  <c r="AH25" i="11"/>
  <c r="J25" i="11"/>
  <c r="AA20" i="11"/>
  <c r="AO20" i="11"/>
  <c r="AH20" i="11"/>
  <c r="J20" i="11"/>
  <c r="AH19" i="11"/>
  <c r="AA19" i="11"/>
  <c r="AO19" i="11"/>
  <c r="AO18" i="11"/>
  <c r="AH18" i="11"/>
  <c r="AA18" i="11"/>
  <c r="J18" i="11"/>
  <c r="AA17" i="11"/>
  <c r="AO17" i="11"/>
  <c r="AH17" i="11"/>
  <c r="AA16" i="11"/>
  <c r="AH16" i="11"/>
  <c r="AO16" i="11"/>
  <c r="J16" i="11"/>
  <c r="AH15" i="11"/>
  <c r="AO15" i="11"/>
  <c r="AA15" i="11"/>
  <c r="J19" i="11"/>
  <c r="AL7" i="11"/>
  <c r="AR7" i="11" s="1"/>
  <c r="J60" i="11"/>
  <c r="AE60" i="11"/>
  <c r="AK60" i="11" s="1"/>
  <c r="X60" i="11"/>
  <c r="AD60" i="11" s="1"/>
  <c r="AL60" i="11"/>
  <c r="AR60" i="11" s="1"/>
  <c r="J59" i="11"/>
  <c r="AL59" i="11"/>
  <c r="AR59" i="11" s="1"/>
  <c r="X59" i="11"/>
  <c r="AD59" i="11" s="1"/>
  <c r="AE59" i="11"/>
  <c r="AK59" i="11" s="1"/>
  <c r="AE58" i="11"/>
  <c r="AK58" i="11" s="1"/>
  <c r="AL58" i="11"/>
  <c r="AR58" i="11" s="1"/>
  <c r="X58" i="11"/>
  <c r="AD58" i="11" s="1"/>
  <c r="J58" i="11"/>
  <c r="AL57" i="11"/>
  <c r="AR57" i="11" s="1"/>
  <c r="X57" i="11"/>
  <c r="AD57" i="11" s="1"/>
  <c r="AE57" i="11"/>
  <c r="AK57" i="11" s="1"/>
  <c r="J57" i="11"/>
  <c r="AE56" i="11"/>
  <c r="AK56" i="11" s="1"/>
  <c r="AL56" i="11"/>
  <c r="AR56" i="11" s="1"/>
  <c r="X56" i="11"/>
  <c r="AD56" i="11" s="1"/>
  <c r="J56" i="11"/>
  <c r="AE55" i="11"/>
  <c r="AK55" i="11" s="1"/>
  <c r="X55" i="11"/>
  <c r="AD55" i="11" s="1"/>
  <c r="AL55" i="11"/>
  <c r="AR55" i="11" s="1"/>
  <c r="J55" i="11"/>
  <c r="AK45" i="11"/>
  <c r="AR45" i="11"/>
  <c r="AD45" i="11"/>
  <c r="J45" i="11"/>
  <c r="AK46" i="11"/>
  <c r="AR46" i="11"/>
  <c r="AD46" i="11"/>
  <c r="J46" i="11"/>
  <c r="AD47" i="11"/>
  <c r="AK47" i="11"/>
  <c r="AR47" i="11"/>
  <c r="J47" i="11"/>
  <c r="AK48" i="11"/>
  <c r="AR48" i="11"/>
  <c r="AD48" i="11"/>
  <c r="J48" i="11"/>
  <c r="AK49" i="11"/>
  <c r="AD49" i="11"/>
  <c r="AR49" i="11"/>
  <c r="J49" i="11"/>
  <c r="AK50" i="11"/>
  <c r="AR50" i="11"/>
  <c r="AD50" i="11"/>
  <c r="J50" i="11"/>
  <c r="X9" i="11"/>
  <c r="AD9" i="11" s="1"/>
  <c r="AE9" i="11"/>
  <c r="AK9" i="11" s="1"/>
  <c r="AE8" i="11"/>
  <c r="AK8" i="11" s="1"/>
  <c r="AE7" i="11"/>
  <c r="AK7" i="11" s="1"/>
  <c r="AL5" i="11"/>
  <c r="AR5" i="11" s="1"/>
  <c r="AE5" i="11"/>
  <c r="AK5" i="11" s="1"/>
  <c r="X15" i="11"/>
  <c r="AL15" i="11"/>
  <c r="AE15" i="11"/>
  <c r="X16" i="11"/>
  <c r="AL16" i="11"/>
  <c r="AE16" i="11"/>
  <c r="AL17" i="11"/>
  <c r="AE17" i="11"/>
  <c r="X17" i="11"/>
  <c r="AL18" i="11"/>
  <c r="AE18" i="11"/>
  <c r="AE19" i="11"/>
  <c r="AL19" i="11"/>
  <c r="AE20" i="11"/>
  <c r="X20" i="11"/>
  <c r="X25" i="11"/>
  <c r="AE25" i="11"/>
  <c r="AL25" i="11"/>
  <c r="AL26" i="11"/>
  <c r="AE26" i="11"/>
  <c r="X27" i="11"/>
  <c r="AL28" i="11"/>
  <c r="AE28" i="11"/>
  <c r="X29" i="11"/>
  <c r="AE29" i="11"/>
  <c r="AL29" i="11"/>
  <c r="AL30" i="11"/>
  <c r="AE30" i="11"/>
  <c r="X30" i="11"/>
  <c r="AE35" i="11"/>
  <c r="AL35" i="11"/>
  <c r="X35" i="11"/>
  <c r="X36" i="11"/>
  <c r="AL38" i="11"/>
  <c r="AE38" i="11"/>
  <c r="AK38" i="11" s="1"/>
  <c r="AL40" i="11"/>
  <c r="X40" i="11"/>
  <c r="AE40" i="11"/>
  <c r="S73" i="2"/>
  <c r="R74" i="2"/>
  <c r="Q74" i="2"/>
  <c r="R73" i="2"/>
  <c r="Q73" i="2"/>
  <c r="S74" i="2"/>
  <c r="AC39" i="11" l="1"/>
  <c r="AQ39" i="11"/>
  <c r="AQ73" i="11"/>
  <c r="AJ73" i="11"/>
  <c r="D39" i="11"/>
  <c r="AB39" i="1"/>
  <c r="X23" i="11"/>
  <c r="O23" i="11"/>
  <c r="AL23" i="11"/>
  <c r="AE23" i="11"/>
  <c r="AK23" i="11" s="1"/>
  <c r="AB73" i="1"/>
  <c r="AB24" i="11"/>
  <c r="AP24" i="11"/>
  <c r="AI24" i="11"/>
  <c r="K39" i="11"/>
  <c r="O39" i="11" s="1"/>
  <c r="P39" i="11"/>
  <c r="T39" i="11" s="1"/>
  <c r="AJ43" i="11"/>
  <c r="AC43" i="11"/>
  <c r="AQ43" i="11"/>
  <c r="H42" i="11"/>
  <c r="AC42" i="1"/>
  <c r="O34" i="11"/>
  <c r="AL34" i="11"/>
  <c r="X34" i="11"/>
  <c r="AD34" i="11" s="1"/>
  <c r="AE34" i="11"/>
  <c r="AK34" i="11" s="1"/>
  <c r="AB34" i="11"/>
  <c r="AP34" i="11"/>
  <c r="AI34" i="11"/>
  <c r="AB44" i="11"/>
  <c r="O33" i="11"/>
  <c r="AE33" i="11"/>
  <c r="X33" i="11"/>
  <c r="AL33" i="11"/>
  <c r="AR33" i="11" s="1"/>
  <c r="O14" i="11"/>
  <c r="AE14" i="11"/>
  <c r="AL14" i="11"/>
  <c r="X14" i="11"/>
  <c r="AK40" i="11"/>
  <c r="AE36" i="11"/>
  <c r="AC43" i="1"/>
  <c r="H43" i="11"/>
  <c r="AB43" i="11" s="1"/>
  <c r="X44" i="11"/>
  <c r="J44" i="11"/>
  <c r="AL44" i="11"/>
  <c r="AE44" i="11"/>
  <c r="AI54" i="11"/>
  <c r="AB54" i="11"/>
  <c r="AP54" i="11"/>
  <c r="O54" i="11"/>
  <c r="AO53" i="11"/>
  <c r="AH53" i="11"/>
  <c r="AA53" i="11"/>
  <c r="AB43" i="1"/>
  <c r="D43" i="11"/>
  <c r="G73" i="11"/>
  <c r="AA73" i="11" s="1"/>
  <c r="AI63" i="11"/>
  <c r="AB63" i="11"/>
  <c r="AP63" i="11"/>
  <c r="H37" i="11"/>
  <c r="AC37" i="1"/>
  <c r="AA13" i="11"/>
  <c r="AH13" i="11"/>
  <c r="AO13" i="11"/>
  <c r="J36" i="11"/>
  <c r="AI14" i="11"/>
  <c r="AP14" i="11"/>
  <c r="AB14" i="11"/>
  <c r="K43" i="11"/>
  <c r="O43" i="11" s="1"/>
  <c r="P43" i="11"/>
  <c r="T43" i="11" s="1"/>
  <c r="O64" i="11"/>
  <c r="X64" i="11"/>
  <c r="AE64" i="11"/>
  <c r="AL64" i="11"/>
  <c r="K37" i="11"/>
  <c r="O37" i="11" s="1"/>
  <c r="P37" i="11"/>
  <c r="T37" i="11" s="1"/>
  <c r="AI64" i="11"/>
  <c r="AK64" i="11" s="1"/>
  <c r="AB64" i="11"/>
  <c r="AD64" i="11" s="1"/>
  <c r="AP64" i="11"/>
  <c r="AR64" i="11" s="1"/>
  <c r="AB33" i="11"/>
  <c r="AP33" i="11"/>
  <c r="AI33" i="11"/>
  <c r="O44" i="11"/>
  <c r="V74" i="1"/>
  <c r="Z74" i="1"/>
  <c r="I74" i="11" s="1"/>
  <c r="Y74" i="1"/>
  <c r="X74" i="1"/>
  <c r="W74" i="1"/>
  <c r="T74" i="1"/>
  <c r="Q74" i="1"/>
  <c r="P74" i="1"/>
  <c r="R74" i="1"/>
  <c r="S74" i="1"/>
  <c r="U74" i="1"/>
  <c r="H39" i="11"/>
  <c r="AC39" i="1"/>
  <c r="AP23" i="11"/>
  <c r="AI23" i="11"/>
  <c r="AB23" i="11"/>
  <c r="O53" i="11"/>
  <c r="AD53" i="11"/>
  <c r="H73" i="11"/>
  <c r="AC73" i="1"/>
  <c r="AI44" i="11"/>
  <c r="AP44" i="11"/>
  <c r="G37" i="11"/>
  <c r="AA14" i="11"/>
  <c r="AH14" i="11"/>
  <c r="AO14" i="11"/>
  <c r="AA74" i="1"/>
  <c r="AA44" i="11"/>
  <c r="AO44" i="11"/>
  <c r="AH44" i="11"/>
  <c r="O13" i="11"/>
  <c r="AE13" i="11"/>
  <c r="AK13" i="11" s="1"/>
  <c r="X13" i="11"/>
  <c r="AL13" i="11"/>
  <c r="AA43" i="11"/>
  <c r="AH43" i="11"/>
  <c r="AO43" i="11"/>
  <c r="G42" i="11"/>
  <c r="O63" i="11"/>
  <c r="AE63" i="11"/>
  <c r="AK63" i="11" s="1"/>
  <c r="AL63" i="11"/>
  <c r="X63" i="11"/>
  <c r="AD63" i="11" s="1"/>
  <c r="O24" i="11"/>
  <c r="X24" i="11"/>
  <c r="AD24" i="11" s="1"/>
  <c r="AL24" i="11"/>
  <c r="AR24" i="11" s="1"/>
  <c r="AE24" i="11"/>
  <c r="AK24" i="11" s="1"/>
  <c r="AP53" i="11"/>
  <c r="AR53" i="11" s="1"/>
  <c r="AI53" i="11"/>
  <c r="AK53" i="11" s="1"/>
  <c r="AB53" i="11"/>
  <c r="AB13" i="11"/>
  <c r="AP13" i="11"/>
  <c r="AI13" i="11"/>
  <c r="AJ37" i="11"/>
  <c r="AC37" i="11"/>
  <c r="AQ37" i="11"/>
  <c r="AH54" i="11"/>
  <c r="AO54" i="11"/>
  <c r="AA54" i="11"/>
  <c r="D42" i="11"/>
  <c r="AB42" i="1"/>
  <c r="D37" i="11"/>
  <c r="AB37" i="1"/>
  <c r="AD16" i="11"/>
  <c r="AR40" i="11"/>
  <c r="AR36" i="11"/>
  <c r="AR20" i="11"/>
  <c r="AD27" i="11"/>
  <c r="AK18" i="11"/>
  <c r="AD38" i="11"/>
  <c r="AK29" i="11"/>
  <c r="AD20" i="11"/>
  <c r="AD17" i="11"/>
  <c r="AK15" i="11"/>
  <c r="AR18" i="11"/>
  <c r="AR28" i="11"/>
  <c r="AD28" i="11"/>
  <c r="AD18" i="11"/>
  <c r="AK16" i="11"/>
  <c r="AR17" i="11"/>
  <c r="AD25" i="11"/>
  <c r="AD30" i="11"/>
  <c r="AK36" i="11"/>
  <c r="AO73" i="11"/>
  <c r="O73" i="11"/>
  <c r="AD40" i="11"/>
  <c r="AR38" i="11"/>
  <c r="AD35" i="11"/>
  <c r="AK30" i="11"/>
  <c r="AK26" i="11"/>
  <c r="AR25" i="11"/>
  <c r="AK19" i="11"/>
  <c r="AR15" i="11"/>
  <c r="AR27" i="11"/>
  <c r="AK27" i="11"/>
  <c r="AD26" i="11"/>
  <c r="AD19" i="11"/>
  <c r="AK35" i="11"/>
  <c r="AR30" i="11"/>
  <c r="AD29" i="11"/>
  <c r="AR29" i="11"/>
  <c r="AK20" i="11"/>
  <c r="AD36" i="11"/>
  <c r="AR35" i="11"/>
  <c r="AK28" i="11"/>
  <c r="AR26" i="11"/>
  <c r="AK25" i="11"/>
  <c r="AR19" i="11"/>
  <c r="AK17" i="11"/>
  <c r="AR16" i="11"/>
  <c r="AD15" i="11"/>
  <c r="AE73" i="11"/>
  <c r="AL73" i="11"/>
  <c r="X73" i="11"/>
  <c r="J73" i="11"/>
  <c r="AR13" i="11" l="1"/>
  <c r="AB39" i="11"/>
  <c r="AI39" i="11"/>
  <c r="AP39" i="11"/>
  <c r="X43" i="11"/>
  <c r="AD43" i="11" s="1"/>
  <c r="AE43" i="11"/>
  <c r="AK43" i="11" s="1"/>
  <c r="AL43" i="11"/>
  <c r="AR43" i="11" s="1"/>
  <c r="J43" i="11"/>
  <c r="AR54" i="11"/>
  <c r="AD44" i="11"/>
  <c r="AK14" i="11"/>
  <c r="AH73" i="11"/>
  <c r="AD13" i="11"/>
  <c r="H74" i="11"/>
  <c r="AC74" i="1"/>
  <c r="AJ74" i="11"/>
  <c r="AQ74" i="11"/>
  <c r="AC74" i="11"/>
  <c r="AA37" i="11"/>
  <c r="AO37" i="11"/>
  <c r="AH37" i="11"/>
  <c r="AP37" i="11"/>
  <c r="AI37" i="11"/>
  <c r="AB37" i="11"/>
  <c r="AD33" i="11"/>
  <c r="AR23" i="11"/>
  <c r="AI43" i="11"/>
  <c r="AP43" i="11"/>
  <c r="J42" i="11"/>
  <c r="AB74" i="1"/>
  <c r="D74" i="11"/>
  <c r="AR63" i="11"/>
  <c r="AK33" i="11"/>
  <c r="AR34" i="11"/>
  <c r="AL37" i="11"/>
  <c r="J37" i="11"/>
  <c r="AE37" i="11"/>
  <c r="AK37" i="11" s="1"/>
  <c r="X37" i="11"/>
  <c r="AD37" i="11" s="1"/>
  <c r="U74" i="11"/>
  <c r="V74" i="11" s="1"/>
  <c r="P74" i="11"/>
  <c r="T74" i="11" s="1"/>
  <c r="K74" i="11"/>
  <c r="O74" i="11" s="1"/>
  <c r="AK44" i="11"/>
  <c r="AD23" i="11"/>
  <c r="AK54" i="11"/>
  <c r="AR44" i="11"/>
  <c r="AD14" i="11"/>
  <c r="AB73" i="11"/>
  <c r="AD73" i="11" s="1"/>
  <c r="AI73" i="11"/>
  <c r="AK73" i="11" s="1"/>
  <c r="AP73" i="11"/>
  <c r="G74" i="11"/>
  <c r="AD54" i="11"/>
  <c r="AR14" i="11"/>
  <c r="J39" i="11"/>
  <c r="AE39" i="11"/>
  <c r="AK39" i="11" s="1"/>
  <c r="X39" i="11"/>
  <c r="AL39" i="11"/>
  <c r="AR39" i="11" s="1"/>
  <c r="AR73" i="11"/>
  <c r="X74" i="11" l="1"/>
  <c r="AE74" i="11"/>
  <c r="J74" i="11"/>
  <c r="AL74" i="11"/>
  <c r="AP74" i="11"/>
  <c r="AI74" i="11"/>
  <c r="AB74" i="11"/>
  <c r="AO74" i="11"/>
  <c r="AH74" i="11"/>
  <c r="AA74" i="11"/>
  <c r="AR37" i="11"/>
  <c r="AD39" i="11"/>
  <c r="AR74" i="11" l="1"/>
  <c r="AK74" i="11"/>
  <c r="AD74" i="11"/>
</calcChain>
</file>

<file path=xl/sharedStrings.xml><?xml version="1.0" encoding="utf-8"?>
<sst xmlns="http://schemas.openxmlformats.org/spreadsheetml/2006/main" count="821" uniqueCount="138">
  <si>
    <t>Model:</t>
  </si>
  <si>
    <t>OsloCTM2</t>
  </si>
  <si>
    <t>SO2</t>
  </si>
  <si>
    <t>ADRF SU</t>
  </si>
  <si>
    <t>ADRF NI</t>
  </si>
  <si>
    <t>AIRF</t>
  </si>
  <si>
    <t>ADRF SOA</t>
  </si>
  <si>
    <t>ADRF BC</t>
  </si>
  <si>
    <t>ADRF OC</t>
  </si>
  <si>
    <t>CH4</t>
  </si>
  <si>
    <t>PM O3</t>
  </si>
  <si>
    <t>DeltaEmi</t>
  </si>
  <si>
    <t>Total RF</t>
  </si>
  <si>
    <t>nADRF SU</t>
  </si>
  <si>
    <t>nADRF NI</t>
  </si>
  <si>
    <t>nADRF SOA</t>
  </si>
  <si>
    <t>nADRF BC</t>
  </si>
  <si>
    <t>nADRF OC</t>
  </si>
  <si>
    <t>nAIRF</t>
  </si>
  <si>
    <t>nCH4</t>
  </si>
  <si>
    <t>nPM O3</t>
  </si>
  <si>
    <t>Total nRF</t>
  </si>
  <si>
    <t>ECLIPSE T4.3 Radiative Forcing Simulations (Absolute RF in mWm-2, Normalised RF in mWm-2 Tg[species]-1)</t>
  </si>
  <si>
    <t>Perturb</t>
  </si>
  <si>
    <t>EUS</t>
  </si>
  <si>
    <t>EUW</t>
  </si>
  <si>
    <t>CNS</t>
  </si>
  <si>
    <t>CNW</t>
  </si>
  <si>
    <t>WDS</t>
  </si>
  <si>
    <t>WDW</t>
  </si>
  <si>
    <t>NOX</t>
  </si>
  <si>
    <t>[NO2]</t>
  </si>
  <si>
    <t>SHS</t>
  </si>
  <si>
    <t>SHW</t>
  </si>
  <si>
    <t>CO</t>
  </si>
  <si>
    <t>VOC</t>
  </si>
  <si>
    <t>[C]</t>
  </si>
  <si>
    <t>BC</t>
  </si>
  <si>
    <t>OC</t>
  </si>
  <si>
    <t>SW O3</t>
  </si>
  <si>
    <t>LW O3</t>
  </si>
  <si>
    <t>nSW O3</t>
  </si>
  <si>
    <t>nLW O3</t>
  </si>
  <si>
    <t>NH3</t>
  </si>
  <si>
    <t>All</t>
  </si>
  <si>
    <t>VOC-&gt;C:</t>
  </si>
  <si>
    <t>Total SLnRF</t>
  </si>
  <si>
    <t>Total LLnRF</t>
  </si>
  <si>
    <t>NorESM</t>
  </si>
  <si>
    <t>ADRF</t>
  </si>
  <si>
    <t>DeltaEMI</t>
  </si>
  <si>
    <t>nADRF</t>
  </si>
  <si>
    <t>Summer</t>
  </si>
  <si>
    <t>Winter</t>
  </si>
  <si>
    <t>OC-&gt;C:</t>
  </si>
  <si>
    <t>HadGEM3</t>
  </si>
  <si>
    <t>ARF</t>
  </si>
  <si>
    <t>SW+LW O3</t>
  </si>
  <si>
    <t>nARF</t>
  </si>
  <si>
    <t>nSW+LW O3</t>
  </si>
  <si>
    <t>ECHAM6-HAMMOZ</t>
  </si>
  <si>
    <t>ECHAM6</t>
  </si>
  <si>
    <t>Ozone</t>
  </si>
  <si>
    <t>Methane</t>
  </si>
  <si>
    <t>PM Ozone</t>
  </si>
  <si>
    <t>Annual</t>
  </si>
  <si>
    <t>N/A</t>
  </si>
  <si>
    <t>Note: Primary mode ozone RF is DeltaCH4(ppb) * [Ozone RF / DeltaCH4(ppb)]_in_CH4_perturb</t>
  </si>
  <si>
    <t>Delta[CH4]_ppb</t>
  </si>
  <si>
    <t>Note: Methane RF is Delta[CH4]_ppb * RF/ppb, increased by 15% to represent stratospheric water changes</t>
  </si>
  <si>
    <t>RF/ppb</t>
  </si>
  <si>
    <t>OzoneRF/DeltaCH4_o3_perturb</t>
  </si>
  <si>
    <t>Cells below are used to compute columns E and F:</t>
  </si>
  <si>
    <t>BC_SNOW</t>
  </si>
  <si>
    <t>nBC_SNOW</t>
  </si>
  <si>
    <t>Best</t>
  </si>
  <si>
    <t>O,N,H</t>
  </si>
  <si>
    <t>O</t>
  </si>
  <si>
    <t>Best estimates are given for each main process.</t>
  </si>
  <si>
    <t>AD+IRF</t>
  </si>
  <si>
    <t>BC_SEMID</t>
  </si>
  <si>
    <t>ADRF NI/ADRF TOT</t>
  </si>
  <si>
    <t>ADRF NI (from TOT and CTM2 ratio)</t>
  </si>
  <si>
    <t>ADRF NI/AD+IRF TOT</t>
  </si>
  <si>
    <t>Low</t>
  </si>
  <si>
    <t>High</t>
  </si>
  <si>
    <t>Include in</t>
  </si>
  <si>
    <t>Model</t>
  </si>
  <si>
    <t>f</t>
  </si>
  <si>
    <t>tau_strat</t>
  </si>
  <si>
    <t>tau_soil</t>
  </si>
  <si>
    <t>yr</t>
  </si>
  <si>
    <t>s</t>
  </si>
  <si>
    <t>tau_OH_Control(yr)</t>
  </si>
  <si>
    <t>tau_OH_perturb(yr)</t>
  </si>
  <si>
    <t>tau_CH4_control(yr)</t>
  </si>
  <si>
    <t>tau_CH4_perturb(yr)</t>
  </si>
  <si>
    <t>Burden_Control(Tg[CH4])</t>
  </si>
  <si>
    <t>Burden_Perturb(Tg[CH4])</t>
  </si>
  <si>
    <t>DeltaBurden(Tg[CH4])</t>
  </si>
  <si>
    <t>NorESM(S)</t>
  </si>
  <si>
    <t>NorESM(W)</t>
  </si>
  <si>
    <t>DeltaEmiss(Tg[CH4]/yr)</t>
  </si>
  <si>
    <t>Matm</t>
  </si>
  <si>
    <t>Tg (assumes methane is well mixed throughout the atmosphere)</t>
  </si>
  <si>
    <t>m_dry_air</t>
  </si>
  <si>
    <t>m_methane</t>
  </si>
  <si>
    <t>factor</t>
  </si>
  <si>
    <t>Conversion burden (Tg) to vmr (ppbv)</t>
  </si>
  <si>
    <t>C0</t>
  </si>
  <si>
    <t>Reference methane mass-mixing ratio (ppb) (WMO Ozone Assessment Report)</t>
  </si>
  <si>
    <t>NRF_CH4(mWm-2/Tg[CH4])</t>
  </si>
  <si>
    <t>Formula in Table 3 of Myhre et al. (1998)</t>
  </si>
  <si>
    <t>N2O_mmr</t>
  </si>
  <si>
    <t>CH4_VMR_control(ppbv)</t>
  </si>
  <si>
    <t>CH4_VMR_perturb(ppbv)</t>
  </si>
  <si>
    <t>NRF_SWV(mWm-2/Tg[CH4])</t>
  </si>
  <si>
    <t>Stratospheric water vapour contribution (extra 15% Myhre et al., 2007)</t>
  </si>
  <si>
    <t>NRF_Ozone(mWm-2/Tg[CH4]/yr)</t>
  </si>
  <si>
    <t>RF_Ozone(mWm-2)</t>
  </si>
  <si>
    <t>NRF_O3/NRF_CH4</t>
  </si>
  <si>
    <t>RF_CH4(Wm-2)</t>
  </si>
  <si>
    <t>Species</t>
  </si>
  <si>
    <t># Best estimates of ECLIPSE T4.3 Radiative Forcing Simulations (Normalised RF in mWm-2 Tg[species]-1)</t>
  </si>
  <si>
    <t>#</t>
  </si>
  <si>
    <t># Model:</t>
  </si>
  <si>
    <t>Units</t>
  </si>
  <si>
    <t>NO2</t>
  </si>
  <si>
    <t>C</t>
  </si>
  <si>
    <t>Ship_All</t>
  </si>
  <si>
    <t>Multiple</t>
  </si>
  <si>
    <t>Note: Best/low/high estimates of total nRF are sums of component best/low/high estimates, not averages of modelled nRF.</t>
  </si>
  <si>
    <t>Nitrate RF is directly taken from OsloCTM2 and added to NorESM, HadGEM3, and ECHAM6.</t>
  </si>
  <si>
    <t>Latitude band 28S-28N</t>
  </si>
  <si>
    <t>RWS</t>
  </si>
  <si>
    <t>RWW</t>
  </si>
  <si>
    <t>Perturbation codes: EUS Europe Summer, EUW Europe Winter, CNS China Summer, CNW China Winter, RWS Rest of the World Summer, RWW Rest of the World Winter, SHS Shipping Summer, SHW Shipping Winter, WDS World Summer, WDW World Winter</t>
  </si>
  <si>
    <t>pbb (WMO, 2014)</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</si>
</sst>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1" fillId="0" borderId="0" xfId="0" applyFont="1"/>
    <xf numFmtId="0" fontId="0" fillId="0" borderId="0" xfId="0" applyFont="1"/>
    <xf numFmtId="11" fontId="0" fillId="0" borderId="0" xfId="0" applyNumberFormat="1"/>
    <xf numFmtId="0" fontId="1" fillId="0" borderId="0" xfId="0" applyFont="1" applyAlignment="1">
      <alignment horizontal="right"/>
    </xf>
    <xf numFmtId="0" fontId="0" fillId="0" borderId="0" xfId="0" applyFont="1" applyAlignment="1">
      <alignment horizontal="right"/>
    </xf>
    <xf numFmtId="0" fontId="0" fillId="0" borderId="0" xfId="0" applyAlignment="1">
      <alignment horizontal="right"/>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76"/>
  <sheetViews>
    <sheetView workbookViewId="0">
      <pane xSplit="2" ySplit="4" topLeftCell="O65" activePane="bottomRight" state="frozen"/>
      <selection pane="topRight" activeCell="C1" sqref="C1"/>
      <selection pane="bottomLeft" activeCell="A5" sqref="A5"/>
      <selection pane="bottomRight" activeCell="S45" sqref="S45"/>
    </sheetView>
  </sheetViews>
  <sheetFormatPr defaultRowHeight="15" x14ac:dyDescent="0.25"/>
  <cols>
    <col min="4" max="4" width="11.7109375" bestFit="1" customWidth="1"/>
    <col min="5" max="5" width="12.7109375" bestFit="1" customWidth="1"/>
    <col min="14" max="14" width="9.140625" style="1"/>
    <col min="27" max="27" width="9.140625" style="1"/>
  </cols>
  <sheetData>
    <row r="1" spans="1:37" x14ac:dyDescent="0.25">
      <c r="A1" t="s">
        <v>22</v>
      </c>
      <c r="L1" t="s">
        <v>136</v>
      </c>
    </row>
    <row r="2" spans="1:37" x14ac:dyDescent="0.25">
      <c r="A2" t="s">
        <v>0</v>
      </c>
      <c r="C2" s="1" t="s">
        <v>1</v>
      </c>
    </row>
    <row r="3" spans="1:37" x14ac:dyDescent="0.25">
      <c r="C3" s="1" t="s">
        <v>133</v>
      </c>
    </row>
    <row r="4" spans="1:37" x14ac:dyDescent="0.25">
      <c r="B4" t="s">
        <v>23</v>
      </c>
      <c r="C4" t="s">
        <v>3</v>
      </c>
      <c r="D4" t="s">
        <v>4</v>
      </c>
      <c r="E4" t="s">
        <v>6</v>
      </c>
      <c r="F4" t="s">
        <v>7</v>
      </c>
      <c r="G4" t="s">
        <v>8</v>
      </c>
      <c r="H4" t="s">
        <v>5</v>
      </c>
      <c r="I4" t="s">
        <v>73</v>
      </c>
      <c r="J4" t="s">
        <v>39</v>
      </c>
      <c r="K4" t="s">
        <v>40</v>
      </c>
      <c r="L4" t="s">
        <v>9</v>
      </c>
      <c r="M4" t="s">
        <v>10</v>
      </c>
      <c r="N4" s="1" t="s">
        <v>12</v>
      </c>
      <c r="O4" t="s">
        <v>11</v>
      </c>
      <c r="P4" t="s">
        <v>13</v>
      </c>
      <c r="Q4" t="s">
        <v>14</v>
      </c>
      <c r="R4" t="s">
        <v>15</v>
      </c>
      <c r="S4" t="s">
        <v>16</v>
      </c>
      <c r="T4" t="s">
        <v>17</v>
      </c>
      <c r="U4" t="s">
        <v>18</v>
      </c>
      <c r="V4" t="s">
        <v>74</v>
      </c>
      <c r="W4" t="s">
        <v>41</v>
      </c>
      <c r="X4" t="s">
        <v>42</v>
      </c>
      <c r="Y4" t="s">
        <v>19</v>
      </c>
      <c r="Z4" t="s">
        <v>20</v>
      </c>
      <c r="AA4" s="1" t="s">
        <v>21</v>
      </c>
      <c r="AB4" t="s">
        <v>46</v>
      </c>
      <c r="AC4" t="s">
        <v>47</v>
      </c>
      <c r="AH4" t="s">
        <v>81</v>
      </c>
      <c r="AK4" t="s">
        <v>83</v>
      </c>
    </row>
    <row r="5" spans="1:37" x14ac:dyDescent="0.25">
      <c r="A5" t="s">
        <v>2</v>
      </c>
      <c r="B5" t="s">
        <v>24</v>
      </c>
      <c r="C5">
        <v>-2.0585399999999998</v>
      </c>
      <c r="D5">
        <v>3.1306800000000003E-2</v>
      </c>
      <c r="H5">
        <v>-0.95994900000000005</v>
      </c>
      <c r="N5" s="1">
        <f t="shared" ref="N5:N44" si="0">SUM(C5:M5)</f>
        <v>-2.9871821999999999</v>
      </c>
      <c r="O5">
        <v>0.76800000000000002</v>
      </c>
      <c r="P5">
        <f t="shared" ref="P5:P42" si="1">C5/O5</f>
        <v>-2.6803906249999998</v>
      </c>
      <c r="Q5">
        <f t="shared" ref="Q5:Q42" si="2">D5/O5</f>
        <v>4.0764062500000003E-2</v>
      </c>
      <c r="R5">
        <f>E5/O5</f>
        <v>0</v>
      </c>
      <c r="S5">
        <f>F5/O5</f>
        <v>0</v>
      </c>
      <c r="T5">
        <f>G5/O5</f>
        <v>0</v>
      </c>
      <c r="U5">
        <f>H5/O5</f>
        <v>-1.24993359375</v>
      </c>
      <c r="W5">
        <f>J5/O5</f>
        <v>0</v>
      </c>
      <c r="X5">
        <f>K5/O5</f>
        <v>0</v>
      </c>
      <c r="Y5">
        <f>L5/O5</f>
        <v>0</v>
      </c>
      <c r="Z5">
        <f>M5/O5</f>
        <v>0</v>
      </c>
      <c r="AA5" s="1">
        <f>N5/O5</f>
        <v>-3.88956015625</v>
      </c>
      <c r="AB5">
        <f>SUM(P5:X5)</f>
        <v>-3.88956015625</v>
      </c>
      <c r="AC5">
        <f>SUM(Y5:Z5)</f>
        <v>0</v>
      </c>
      <c r="AH5">
        <f>D5/SUM(C5,E5:G5)</f>
        <v>-1.5208254393890818E-2</v>
      </c>
      <c r="AK5">
        <f>D5/SUM(C5,E5:H5)</f>
        <v>-1.0371679340226187E-2</v>
      </c>
    </row>
    <row r="6" spans="1:37" x14ac:dyDescent="0.25">
      <c r="B6" t="s">
        <v>25</v>
      </c>
      <c r="C6">
        <v>-0.64909899999999998</v>
      </c>
      <c r="D6">
        <v>3.4949399999999999E-2</v>
      </c>
      <c r="H6">
        <v>-0.34237200000000001</v>
      </c>
      <c r="N6" s="1">
        <f t="shared" si="0"/>
        <v>-0.95652159999999997</v>
      </c>
      <c r="O6">
        <v>0.83</v>
      </c>
      <c r="P6">
        <f t="shared" si="1"/>
        <v>-0.78204698795180727</v>
      </c>
      <c r="Q6">
        <f t="shared" si="2"/>
        <v>4.2107710843373496E-2</v>
      </c>
      <c r="R6">
        <f>E6/O6</f>
        <v>0</v>
      </c>
      <c r="S6">
        <f t="shared" ref="S6:S75" si="3">F6/O6</f>
        <v>0</v>
      </c>
      <c r="T6">
        <f t="shared" ref="T6:T75" si="4">G6/O6</f>
        <v>0</v>
      </c>
      <c r="U6">
        <f t="shared" ref="U6:U75" si="5">H6/O6</f>
        <v>-0.41249638554216872</v>
      </c>
      <c r="W6">
        <f t="shared" ref="W6:W75" si="6">J6/O6</f>
        <v>0</v>
      </c>
      <c r="X6">
        <f t="shared" ref="X6:X75" si="7">K6/O6</f>
        <v>0</v>
      </c>
      <c r="Y6">
        <f t="shared" ref="Y6:Y75" si="8">L6/O6</f>
        <v>0</v>
      </c>
      <c r="Z6">
        <f t="shared" ref="Z6:Z75" si="9">M6/O6</f>
        <v>0</v>
      </c>
      <c r="AA6" s="1">
        <f t="shared" ref="AA6:AA75" si="10">N6/O6</f>
        <v>-1.1524356626506025</v>
      </c>
      <c r="AB6">
        <f t="shared" ref="AB6:AB75" si="11">SUM(P6:X6)</f>
        <v>-1.1524356626506025</v>
      </c>
      <c r="AC6">
        <f t="shared" ref="AC6:AC75" si="12">SUM(Y6:Z6)</f>
        <v>0</v>
      </c>
      <c r="AH6">
        <f t="shared" ref="AH6:AH75" si="13">D6/SUM(C6,E6:G6)</f>
        <v>-5.3842942293856562E-2</v>
      </c>
      <c r="AK6">
        <f t="shared" ref="AK6:AK75" si="14">D6/SUM(C6,E6:H6)</f>
        <v>-3.5250047656461961E-2</v>
      </c>
    </row>
    <row r="7" spans="1:37" x14ac:dyDescent="0.25">
      <c r="B7" t="s">
        <v>26</v>
      </c>
      <c r="C7">
        <v>-6.3324800000000003</v>
      </c>
      <c r="D7">
        <v>6.5469899999999998E-2</v>
      </c>
      <c r="H7">
        <v>-3.69964</v>
      </c>
      <c r="N7" s="1">
        <f t="shared" si="0"/>
        <v>-9.9666501000000007</v>
      </c>
      <c r="O7">
        <v>3.149</v>
      </c>
      <c r="P7">
        <f t="shared" si="1"/>
        <v>-2.0109495077802477</v>
      </c>
      <c r="Q7">
        <f t="shared" si="2"/>
        <v>2.0790695458875831E-2</v>
      </c>
      <c r="R7">
        <f t="shared" ref="R7:R75" si="15">E7/O7</f>
        <v>0</v>
      </c>
      <c r="S7">
        <f t="shared" si="3"/>
        <v>0</v>
      </c>
      <c r="T7">
        <f t="shared" si="4"/>
        <v>0</v>
      </c>
      <c r="U7">
        <f t="shared" si="5"/>
        <v>-1.1748618609082249</v>
      </c>
      <c r="W7">
        <f t="shared" si="6"/>
        <v>0</v>
      </c>
      <c r="X7">
        <f t="shared" si="7"/>
        <v>0</v>
      </c>
      <c r="Y7">
        <f t="shared" si="8"/>
        <v>0</v>
      </c>
      <c r="Z7">
        <f t="shared" si="9"/>
        <v>0</v>
      </c>
      <c r="AA7" s="1">
        <f t="shared" si="10"/>
        <v>-3.1650206732295971</v>
      </c>
      <c r="AB7">
        <f t="shared" si="11"/>
        <v>-3.1650206732295967</v>
      </c>
      <c r="AC7">
        <f t="shared" si="12"/>
        <v>0</v>
      </c>
      <c r="AH7">
        <f t="shared" si="13"/>
        <v>-1.0338745641518014E-2</v>
      </c>
      <c r="AK7">
        <f t="shared" si="14"/>
        <v>-6.5260283967895115E-3</v>
      </c>
    </row>
    <row r="8" spans="1:37" x14ac:dyDescent="0.25">
      <c r="B8" t="s">
        <v>27</v>
      </c>
      <c r="C8">
        <v>-4.1612799999999996</v>
      </c>
      <c r="D8">
        <v>0.22125700000000001</v>
      </c>
      <c r="H8">
        <v>-4.4850099999999999</v>
      </c>
      <c r="N8" s="1">
        <f t="shared" si="0"/>
        <v>-8.4250329999999991</v>
      </c>
      <c r="O8">
        <v>3.3170000000000002</v>
      </c>
      <c r="P8">
        <f t="shared" si="1"/>
        <v>-1.2545312028941813</v>
      </c>
      <c r="Q8">
        <f t="shared" si="2"/>
        <v>6.6703949351823943E-2</v>
      </c>
      <c r="R8">
        <f t="shared" si="15"/>
        <v>0</v>
      </c>
      <c r="S8">
        <f t="shared" si="3"/>
        <v>0</v>
      </c>
      <c r="T8">
        <f t="shared" si="4"/>
        <v>0</v>
      </c>
      <c r="U8">
        <f t="shared" si="5"/>
        <v>-1.3521284293035876</v>
      </c>
      <c r="W8">
        <f t="shared" si="6"/>
        <v>0</v>
      </c>
      <c r="X8">
        <f t="shared" si="7"/>
        <v>0</v>
      </c>
      <c r="Y8">
        <f t="shared" si="8"/>
        <v>0</v>
      </c>
      <c r="Z8">
        <f t="shared" si="9"/>
        <v>0</v>
      </c>
      <c r="AA8" s="1">
        <f t="shared" si="10"/>
        <v>-2.5399556828459446</v>
      </c>
      <c r="AB8">
        <f t="shared" si="11"/>
        <v>-2.5399556828459451</v>
      </c>
      <c r="AC8">
        <f t="shared" si="12"/>
        <v>0</v>
      </c>
      <c r="AH8">
        <f t="shared" si="13"/>
        <v>-5.3170418717317758E-2</v>
      </c>
      <c r="AK8">
        <f t="shared" si="14"/>
        <v>-2.5589819448572741E-2</v>
      </c>
    </row>
    <row r="9" spans="1:37" x14ac:dyDescent="0.25">
      <c r="B9" t="s">
        <v>134</v>
      </c>
      <c r="C9">
        <v>-21.212599999999998</v>
      </c>
      <c r="D9">
        <v>0.78458799999999995</v>
      </c>
      <c r="H9">
        <v>-20.661899999999999</v>
      </c>
      <c r="N9" s="1">
        <f t="shared" si="0"/>
        <v>-41.089911999999998</v>
      </c>
      <c r="O9">
        <v>5.1559999999999997</v>
      </c>
      <c r="P9">
        <f t="shared" si="1"/>
        <v>-4.1141582622187745</v>
      </c>
      <c r="Q9">
        <f t="shared" si="2"/>
        <v>0.15216989914662529</v>
      </c>
      <c r="R9">
        <f t="shared" si="15"/>
        <v>0</v>
      </c>
      <c r="S9">
        <f t="shared" si="3"/>
        <v>0</v>
      </c>
      <c r="T9">
        <f t="shared" si="4"/>
        <v>0</v>
      </c>
      <c r="U9">
        <f t="shared" si="5"/>
        <v>-4.0073506594259118</v>
      </c>
      <c r="W9">
        <f t="shared" si="6"/>
        <v>0</v>
      </c>
      <c r="X9">
        <f t="shared" si="7"/>
        <v>0</v>
      </c>
      <c r="Y9">
        <f t="shared" si="8"/>
        <v>0</v>
      </c>
      <c r="Z9">
        <f t="shared" si="9"/>
        <v>0</v>
      </c>
      <c r="AA9" s="1">
        <f t="shared" si="10"/>
        <v>-7.9693390224980609</v>
      </c>
      <c r="AB9">
        <f t="shared" si="11"/>
        <v>-7.9693390224980609</v>
      </c>
      <c r="AC9">
        <f t="shared" si="12"/>
        <v>0</v>
      </c>
      <c r="AH9">
        <f t="shared" si="13"/>
        <v>-3.6986885153163687E-2</v>
      </c>
      <c r="AK9">
        <f t="shared" si="14"/>
        <v>-1.873665357198295E-2</v>
      </c>
    </row>
    <row r="10" spans="1:37" x14ac:dyDescent="0.25">
      <c r="B10" t="s">
        <v>135</v>
      </c>
      <c r="C10">
        <v>-21.289000000000001</v>
      </c>
      <c r="D10">
        <v>1.1312199999999999</v>
      </c>
      <c r="H10">
        <v>-21.226199999999999</v>
      </c>
      <c r="N10" s="1">
        <f t="shared" si="0"/>
        <v>-41.383980000000001</v>
      </c>
      <c r="O10">
        <v>5.15</v>
      </c>
      <c r="P10">
        <f t="shared" si="1"/>
        <v>-4.1337864077669906</v>
      </c>
      <c r="Q10">
        <f t="shared" si="2"/>
        <v>0.2196543689320388</v>
      </c>
      <c r="R10">
        <f t="shared" si="15"/>
        <v>0</v>
      </c>
      <c r="S10">
        <f t="shared" si="3"/>
        <v>0</v>
      </c>
      <c r="T10">
        <f t="shared" si="4"/>
        <v>0</v>
      </c>
      <c r="U10">
        <f t="shared" si="5"/>
        <v>-4.1215922330097081</v>
      </c>
      <c r="W10">
        <f t="shared" si="6"/>
        <v>0</v>
      </c>
      <c r="X10">
        <f t="shared" si="7"/>
        <v>0</v>
      </c>
      <c r="Y10">
        <f t="shared" si="8"/>
        <v>0</v>
      </c>
      <c r="Z10">
        <f t="shared" si="9"/>
        <v>0</v>
      </c>
      <c r="AA10" s="1">
        <f t="shared" si="10"/>
        <v>-8.0357242718446606</v>
      </c>
      <c r="AB10">
        <f t="shared" si="11"/>
        <v>-8.0357242718446606</v>
      </c>
      <c r="AC10">
        <f t="shared" si="12"/>
        <v>0</v>
      </c>
      <c r="AH10">
        <f t="shared" si="13"/>
        <v>-5.3136361501244768E-2</v>
      </c>
      <c r="AK10">
        <f t="shared" si="14"/>
        <v>-2.6607425109137436E-2</v>
      </c>
    </row>
    <row r="11" spans="1:37" x14ac:dyDescent="0.25">
      <c r="B11" t="s">
        <v>32</v>
      </c>
      <c r="C11">
        <v>-3.0329799999999998</v>
      </c>
      <c r="D11">
        <v>2.1281100000000001E-2</v>
      </c>
      <c r="H11">
        <v>-6.6715200000000001</v>
      </c>
      <c r="N11" s="1">
        <f t="shared" si="0"/>
        <v>-9.6832189</v>
      </c>
      <c r="O11">
        <v>1.048</v>
      </c>
      <c r="P11">
        <f t="shared" si="1"/>
        <v>-2.8940648854961828</v>
      </c>
      <c r="Q11">
        <f t="shared" si="2"/>
        <v>2.0306393129770992E-2</v>
      </c>
      <c r="R11">
        <f t="shared" si="15"/>
        <v>0</v>
      </c>
      <c r="S11">
        <f t="shared" si="3"/>
        <v>0</v>
      </c>
      <c r="T11">
        <f t="shared" si="4"/>
        <v>0</v>
      </c>
      <c r="U11">
        <f t="shared" si="5"/>
        <v>-6.3659541984732826</v>
      </c>
      <c r="W11">
        <f t="shared" si="6"/>
        <v>0</v>
      </c>
      <c r="X11">
        <f t="shared" si="7"/>
        <v>0</v>
      </c>
      <c r="Y11">
        <f t="shared" si="8"/>
        <v>0</v>
      </c>
      <c r="Z11">
        <f t="shared" si="9"/>
        <v>0</v>
      </c>
      <c r="AA11" s="1">
        <f t="shared" si="10"/>
        <v>-9.2397126908396938</v>
      </c>
      <c r="AB11">
        <f t="shared" si="11"/>
        <v>-9.2397126908396938</v>
      </c>
      <c r="AC11">
        <f t="shared" si="12"/>
        <v>0</v>
      </c>
      <c r="AH11">
        <f t="shared" si="13"/>
        <v>-7.0165645668616352E-3</v>
      </c>
      <c r="AK11">
        <f t="shared" si="14"/>
        <v>-2.1929105054356228E-3</v>
      </c>
    </row>
    <row r="12" spans="1:37" x14ac:dyDescent="0.25">
      <c r="B12" t="s">
        <v>33</v>
      </c>
      <c r="C12">
        <v>-2.9023099999999999</v>
      </c>
      <c r="D12">
        <v>4.4016199999999998E-2</v>
      </c>
      <c r="H12">
        <v>-6.4988799999999998</v>
      </c>
      <c r="N12" s="1">
        <f t="shared" si="0"/>
        <v>-9.3571738</v>
      </c>
      <c r="O12">
        <v>1.0309999999999999</v>
      </c>
      <c r="P12">
        <f t="shared" si="1"/>
        <v>-2.815043646944714</v>
      </c>
      <c r="Q12">
        <f t="shared" si="2"/>
        <v>4.2692725509214359E-2</v>
      </c>
      <c r="R12">
        <f t="shared" si="15"/>
        <v>0</v>
      </c>
      <c r="S12">
        <f t="shared" si="3"/>
        <v>0</v>
      </c>
      <c r="T12">
        <f t="shared" si="4"/>
        <v>0</v>
      </c>
      <c r="U12">
        <f t="shared" si="5"/>
        <v>-6.3034723569350151</v>
      </c>
      <c r="W12">
        <f t="shared" si="6"/>
        <v>0</v>
      </c>
      <c r="X12">
        <f t="shared" si="7"/>
        <v>0</v>
      </c>
      <c r="Y12">
        <f t="shared" si="8"/>
        <v>0</v>
      </c>
      <c r="Z12">
        <f t="shared" si="9"/>
        <v>0</v>
      </c>
      <c r="AA12" s="1">
        <f t="shared" si="10"/>
        <v>-9.0758232783705139</v>
      </c>
      <c r="AB12">
        <f t="shared" si="11"/>
        <v>-9.0758232783705139</v>
      </c>
      <c r="AC12">
        <f t="shared" si="12"/>
        <v>0</v>
      </c>
      <c r="AH12">
        <f t="shared" si="13"/>
        <v>-1.5165919560625846E-2</v>
      </c>
      <c r="AK12">
        <f t="shared" si="14"/>
        <v>-4.6819817491189943E-3</v>
      </c>
    </row>
    <row r="13" spans="1:37" x14ac:dyDescent="0.25">
      <c r="B13" t="s">
        <v>28</v>
      </c>
      <c r="C13">
        <f>C5+C7+C9+C11</f>
        <v>-32.636600000000001</v>
      </c>
      <c r="D13">
        <f>D5+D7+D9+D11</f>
        <v>0.90264580000000005</v>
      </c>
      <c r="H13">
        <f>H5+H7+H9+H11</f>
        <v>-31.993009000000001</v>
      </c>
      <c r="N13" s="1">
        <f t="shared" si="0"/>
        <v>-63.7269632</v>
      </c>
      <c r="O13">
        <f>O5+O7+O9+O11</f>
        <v>10.121</v>
      </c>
      <c r="P13">
        <f t="shared" ref="P13:P14" si="16">C13/O13</f>
        <v>-3.2246418338108884</v>
      </c>
      <c r="Q13">
        <f t="shared" ref="Q13:Q14" si="17">D13/O13</f>
        <v>8.9185436221717221E-2</v>
      </c>
      <c r="R13">
        <f t="shared" ref="R13:R14" si="18">E13/O13</f>
        <v>0</v>
      </c>
      <c r="S13">
        <f t="shared" ref="S13:S14" si="19">F13/O13</f>
        <v>0</v>
      </c>
      <c r="T13">
        <f t="shared" ref="T13:T14" si="20">G13/O13</f>
        <v>0</v>
      </c>
      <c r="U13">
        <f t="shared" ref="U13:U14" si="21">H13/O13</f>
        <v>-3.1610521687580277</v>
      </c>
      <c r="W13">
        <f t="shared" ref="W13:W14" si="22">J13/O13</f>
        <v>0</v>
      </c>
      <c r="X13">
        <f t="shared" ref="X13:X14" si="23">K13/O13</f>
        <v>0</v>
      </c>
      <c r="Y13">
        <f t="shared" ref="Y13:Y14" si="24">L13/O13</f>
        <v>0</v>
      </c>
      <c r="Z13">
        <f t="shared" ref="Z13:Z14" si="25">M13/O13</f>
        <v>0</v>
      </c>
      <c r="AA13" s="1">
        <f t="shared" ref="AA13:AA14" si="26">N13/O13</f>
        <v>-6.2965085663471987</v>
      </c>
      <c r="AB13">
        <f t="shared" ref="AB13:AB14" si="27">SUM(P13:X13)</f>
        <v>-6.2965085663471996</v>
      </c>
      <c r="AC13">
        <f t="shared" ref="AC13:AC14" si="28">SUM(Y13:Z13)</f>
        <v>0</v>
      </c>
      <c r="AH13">
        <f t="shared" ref="AH13:AH14" si="29">D13/SUM(C13,E13:G13)</f>
        <v>-2.765747044728924E-2</v>
      </c>
      <c r="AK13">
        <f t="shared" ref="AK13:AK14" si="30">D13/SUM(C13,E13:H13)</f>
        <v>-1.3966443770377753E-2</v>
      </c>
    </row>
    <row r="14" spans="1:37" x14ac:dyDescent="0.25">
      <c r="B14" t="s">
        <v>29</v>
      </c>
      <c r="C14">
        <f>C6+C8+C10+C12</f>
        <v>-29.001688999999999</v>
      </c>
      <c r="D14">
        <f>D6+D8+D10+D12</f>
        <v>1.4314425999999998</v>
      </c>
      <c r="H14">
        <f>H6+H8+H10+H12</f>
        <v>-32.552461999999998</v>
      </c>
      <c r="N14" s="1">
        <f t="shared" si="0"/>
        <v>-60.122708399999993</v>
      </c>
      <c r="O14">
        <f>O6+O8+O10+O12</f>
        <v>10.328000000000001</v>
      </c>
      <c r="P14">
        <f t="shared" si="16"/>
        <v>-2.8080643880712621</v>
      </c>
      <c r="Q14">
        <f t="shared" si="17"/>
        <v>0.13859823780015487</v>
      </c>
      <c r="R14">
        <f t="shared" si="18"/>
        <v>0</v>
      </c>
      <c r="S14">
        <f t="shared" si="19"/>
        <v>0</v>
      </c>
      <c r="T14">
        <f t="shared" si="20"/>
        <v>0</v>
      </c>
      <c r="U14">
        <f t="shared" si="21"/>
        <v>-3.1518650271107664</v>
      </c>
      <c r="W14">
        <f t="shared" si="22"/>
        <v>0</v>
      </c>
      <c r="X14">
        <f t="shared" si="23"/>
        <v>0</v>
      </c>
      <c r="Y14">
        <f t="shared" si="24"/>
        <v>0</v>
      </c>
      <c r="Z14">
        <f t="shared" si="25"/>
        <v>0</v>
      </c>
      <c r="AA14" s="1">
        <f t="shared" si="26"/>
        <v>-5.8213311773818734</v>
      </c>
      <c r="AB14">
        <f t="shared" si="27"/>
        <v>-5.8213311773818734</v>
      </c>
      <c r="AC14">
        <f t="shared" si="28"/>
        <v>0</v>
      </c>
      <c r="AH14">
        <f t="shared" si="29"/>
        <v>-4.935721502289056E-2</v>
      </c>
      <c r="AK14">
        <f t="shared" si="30"/>
        <v>-2.3255013297153588E-2</v>
      </c>
    </row>
    <row r="15" spans="1:37" x14ac:dyDescent="0.25">
      <c r="A15" t="s">
        <v>30</v>
      </c>
      <c r="B15" t="s">
        <v>24</v>
      </c>
      <c r="C15">
        <v>-0.99839299999999997</v>
      </c>
      <c r="D15">
        <v>-4.5696599999999997E-3</v>
      </c>
      <c r="H15">
        <v>1.7347599999999999E-3</v>
      </c>
      <c r="J15">
        <v>5.2618600000000001E-2</v>
      </c>
      <c r="K15">
        <v>0.12297</v>
      </c>
      <c r="L15">
        <v>-0.84</v>
      </c>
      <c r="M15" s="3">
        <f>L15/1.15*Methane!S2</f>
        <v>-0.38601621414929443</v>
      </c>
      <c r="N15" s="1">
        <f t="shared" si="0"/>
        <v>-2.0516555141492945</v>
      </c>
      <c r="O15">
        <v>0.97699999999999998</v>
      </c>
      <c r="P15">
        <f t="shared" si="1"/>
        <v>-1.0218966223132038</v>
      </c>
      <c r="Q15">
        <f t="shared" si="2"/>
        <v>-4.6772364380757419E-3</v>
      </c>
      <c r="R15">
        <f t="shared" si="15"/>
        <v>0</v>
      </c>
      <c r="S15">
        <f t="shared" si="3"/>
        <v>0</v>
      </c>
      <c r="T15">
        <f t="shared" si="4"/>
        <v>0</v>
      </c>
      <c r="U15">
        <f t="shared" si="5"/>
        <v>1.7755987717502559E-3</v>
      </c>
      <c r="W15">
        <f t="shared" si="6"/>
        <v>5.3857318321392018E-2</v>
      </c>
      <c r="X15">
        <f t="shared" si="7"/>
        <v>0.12586489252814739</v>
      </c>
      <c r="Y15">
        <f t="shared" si="8"/>
        <v>-0.85977482088024559</v>
      </c>
      <c r="Z15">
        <f t="shared" si="9"/>
        <v>-0.39510359687747643</v>
      </c>
      <c r="AA15" s="1">
        <f t="shared" si="10"/>
        <v>-2.0999544668877119</v>
      </c>
      <c r="AB15">
        <f t="shared" si="11"/>
        <v>-0.8450760491299899</v>
      </c>
      <c r="AC15">
        <f t="shared" si="12"/>
        <v>-1.2548784177577219</v>
      </c>
      <c r="AH15">
        <f t="shared" si="13"/>
        <v>4.5770152635284901E-3</v>
      </c>
      <c r="AK15">
        <f t="shared" si="14"/>
        <v>4.5849819091447032E-3</v>
      </c>
    </row>
    <row r="16" spans="1:37" x14ac:dyDescent="0.25">
      <c r="A16" t="s">
        <v>31</v>
      </c>
      <c r="B16" t="s">
        <v>25</v>
      </c>
      <c r="C16">
        <v>-2.1858599999999999E-2</v>
      </c>
      <c r="D16">
        <v>-2.1959800000000002E-2</v>
      </c>
      <c r="H16">
        <v>1.3561800000000001E-2</v>
      </c>
      <c r="J16">
        <v>1.23167E-2</v>
      </c>
      <c r="K16">
        <v>1.90823E-2</v>
      </c>
      <c r="L16">
        <v>-0.42</v>
      </c>
      <c r="M16" s="3">
        <f>L16/1.15*Methane!S2</f>
        <v>-0.19300810707464722</v>
      </c>
      <c r="N16" s="1">
        <f t="shared" si="0"/>
        <v>-0.61186570707464716</v>
      </c>
      <c r="O16">
        <v>1.0289999999999999</v>
      </c>
      <c r="P16">
        <f t="shared" si="1"/>
        <v>-2.1242565597667639E-2</v>
      </c>
      <c r="Q16">
        <f t="shared" si="2"/>
        <v>-2.1340913508260451E-2</v>
      </c>
      <c r="R16">
        <f t="shared" si="15"/>
        <v>0</v>
      </c>
      <c r="S16">
        <f t="shared" si="3"/>
        <v>0</v>
      </c>
      <c r="T16">
        <f t="shared" si="4"/>
        <v>0</v>
      </c>
      <c r="U16">
        <f t="shared" si="5"/>
        <v>1.3179591836734696E-2</v>
      </c>
      <c r="W16">
        <f t="shared" si="6"/>
        <v>1.1969582118561712E-2</v>
      </c>
      <c r="X16">
        <f t="shared" si="7"/>
        <v>1.8544509232264337E-2</v>
      </c>
      <c r="Y16">
        <f t="shared" si="8"/>
        <v>-0.40816326530612246</v>
      </c>
      <c r="Z16">
        <f t="shared" si="9"/>
        <v>-0.18756861717652792</v>
      </c>
      <c r="AA16" s="1">
        <f t="shared" si="10"/>
        <v>-0.59462167840101765</v>
      </c>
      <c r="AB16">
        <f t="shared" si="11"/>
        <v>1.1102040816326521E-3</v>
      </c>
      <c r="AC16">
        <f t="shared" si="12"/>
        <v>-0.59573188248265041</v>
      </c>
      <c r="AH16">
        <f t="shared" si="13"/>
        <v>1.0046297567090299</v>
      </c>
      <c r="AK16">
        <f t="shared" si="14"/>
        <v>2.6467794812457823</v>
      </c>
    </row>
    <row r="17" spans="1:37" x14ac:dyDescent="0.25">
      <c r="B17" t="s">
        <v>26</v>
      </c>
      <c r="C17">
        <v>-6.8794800000000003E-2</v>
      </c>
      <c r="D17">
        <v>-2.4890499999999999E-2</v>
      </c>
      <c r="H17">
        <v>4.3733099999999997E-2</v>
      </c>
      <c r="J17">
        <v>0.34370200000000001</v>
      </c>
      <c r="K17">
        <v>1.2256199999999999</v>
      </c>
      <c r="L17">
        <v>-1.78</v>
      </c>
      <c r="M17" s="3">
        <f>L17/1.15*Methane!S2</f>
        <v>-0.81798673950683831</v>
      </c>
      <c r="N17" s="1">
        <f t="shared" si="0"/>
        <v>-1.0786169395068383</v>
      </c>
      <c r="O17">
        <v>2.0230000000000001</v>
      </c>
      <c r="P17">
        <f t="shared" si="1"/>
        <v>-3.4006327236777066E-2</v>
      </c>
      <c r="Q17">
        <f t="shared" si="2"/>
        <v>-1.2303756796836381E-2</v>
      </c>
      <c r="R17">
        <f t="shared" si="15"/>
        <v>0</v>
      </c>
      <c r="S17">
        <f t="shared" si="3"/>
        <v>0</v>
      </c>
      <c r="T17">
        <f t="shared" si="4"/>
        <v>0</v>
      </c>
      <c r="U17">
        <f t="shared" si="5"/>
        <v>2.1617943648047453E-2</v>
      </c>
      <c r="W17">
        <f t="shared" si="6"/>
        <v>0.1698971824023727</v>
      </c>
      <c r="X17">
        <f t="shared" si="7"/>
        <v>0.60584280771131971</v>
      </c>
      <c r="Y17">
        <f t="shared" si="8"/>
        <v>-0.87988136431042996</v>
      </c>
      <c r="Z17">
        <f t="shared" si="9"/>
        <v>-0.40434342041860516</v>
      </c>
      <c r="AA17" s="1">
        <f t="shared" si="10"/>
        <v>-0.53317693500090868</v>
      </c>
      <c r="AB17">
        <f t="shared" si="11"/>
        <v>0.75104784972812644</v>
      </c>
      <c r="AC17">
        <f t="shared" si="12"/>
        <v>-1.2842247847290351</v>
      </c>
      <c r="AH17">
        <f t="shared" si="13"/>
        <v>0.36180786919941621</v>
      </c>
      <c r="AK17">
        <f t="shared" si="14"/>
        <v>0.99316885925535747</v>
      </c>
    </row>
    <row r="18" spans="1:37" x14ac:dyDescent="0.25">
      <c r="B18" t="s">
        <v>27</v>
      </c>
      <c r="C18">
        <v>-8.2769499999999996E-2</v>
      </c>
      <c r="D18">
        <v>-0.60621199999999997</v>
      </c>
      <c r="H18">
        <v>-0.15565799999999999</v>
      </c>
      <c r="J18">
        <v>0.109594</v>
      </c>
      <c r="K18">
        <v>0.28911900000000001</v>
      </c>
      <c r="L18">
        <v>-1.18</v>
      </c>
      <c r="M18" s="3">
        <f>L18/1.15*Methane!S2</f>
        <v>-0.54226087225734221</v>
      </c>
      <c r="N18" s="1">
        <f t="shared" si="0"/>
        <v>-2.1681873722573419</v>
      </c>
      <c r="O18">
        <v>2.0840000000000001</v>
      </c>
      <c r="P18">
        <f t="shared" si="1"/>
        <v>-3.9716650671785023E-2</v>
      </c>
      <c r="Q18">
        <f t="shared" si="2"/>
        <v>-0.29088867562380039</v>
      </c>
      <c r="R18">
        <f t="shared" si="15"/>
        <v>0</v>
      </c>
      <c r="S18">
        <f t="shared" si="3"/>
        <v>0</v>
      </c>
      <c r="T18">
        <f t="shared" si="4"/>
        <v>0</v>
      </c>
      <c r="U18">
        <f t="shared" si="5"/>
        <v>-7.4691938579654504E-2</v>
      </c>
      <c r="W18">
        <f t="shared" si="6"/>
        <v>5.2588291746641071E-2</v>
      </c>
      <c r="X18">
        <f t="shared" si="7"/>
        <v>0.13873272552783109</v>
      </c>
      <c r="Y18">
        <f t="shared" si="8"/>
        <v>-0.56621880998080609</v>
      </c>
      <c r="Z18">
        <f t="shared" si="9"/>
        <v>-0.2602019540582256</v>
      </c>
      <c r="AA18" s="1">
        <f t="shared" si="10"/>
        <v>-1.0403970116397994</v>
      </c>
      <c r="AB18">
        <f t="shared" si="11"/>
        <v>-0.21397624760076775</v>
      </c>
      <c r="AC18">
        <f t="shared" si="12"/>
        <v>-0.82642076403903175</v>
      </c>
      <c r="AH18">
        <f t="shared" si="13"/>
        <v>7.3240988528383042</v>
      </c>
      <c r="AK18">
        <f t="shared" si="14"/>
        <v>2.5425422822451269</v>
      </c>
    </row>
    <row r="19" spans="1:37" x14ac:dyDescent="0.25">
      <c r="B19" t="s">
        <v>134</v>
      </c>
      <c r="C19">
        <v>-0.68413299999999999</v>
      </c>
      <c r="D19">
        <v>-0.64416200000000001</v>
      </c>
      <c r="H19">
        <v>0.132743</v>
      </c>
      <c r="J19">
        <v>2.2491500000000002</v>
      </c>
      <c r="K19">
        <v>7.1006900000000002</v>
      </c>
      <c r="L19">
        <v>-11.41</v>
      </c>
      <c r="M19" s="3">
        <f>L19/1.15*Methane!S2</f>
        <v>-5.2433869088612495</v>
      </c>
      <c r="N19" s="1">
        <f t="shared" si="0"/>
        <v>-8.4990989088612494</v>
      </c>
      <c r="O19">
        <v>6.3570000000000002</v>
      </c>
      <c r="P19">
        <f t="shared" si="1"/>
        <v>-0.10761884536731162</v>
      </c>
      <c r="Q19">
        <f t="shared" si="2"/>
        <v>-0.10133113103665251</v>
      </c>
      <c r="R19">
        <f t="shared" si="15"/>
        <v>0</v>
      </c>
      <c r="S19">
        <f t="shared" si="3"/>
        <v>0</v>
      </c>
      <c r="T19">
        <f t="shared" si="4"/>
        <v>0</v>
      </c>
      <c r="U19">
        <f t="shared" si="5"/>
        <v>2.0881390593047035E-2</v>
      </c>
      <c r="W19">
        <f t="shared" si="6"/>
        <v>0.35380682711971057</v>
      </c>
      <c r="X19">
        <f t="shared" si="7"/>
        <v>1.1169875727544438</v>
      </c>
      <c r="Y19">
        <f t="shared" si="8"/>
        <v>-1.7948717948717949</v>
      </c>
      <c r="Z19">
        <f t="shared" si="9"/>
        <v>-0.82482097040447522</v>
      </c>
      <c r="AA19" s="1">
        <f t="shared" si="10"/>
        <v>-1.3369669512130327</v>
      </c>
      <c r="AB19">
        <f t="shared" si="11"/>
        <v>1.2827258140632374</v>
      </c>
      <c r="AC19">
        <f t="shared" si="12"/>
        <v>-2.61969276527627</v>
      </c>
      <c r="AH19">
        <f t="shared" si="13"/>
        <v>0.94157422606423025</v>
      </c>
      <c r="AK19">
        <f t="shared" si="14"/>
        <v>1.1682511471009629</v>
      </c>
    </row>
    <row r="20" spans="1:37" x14ac:dyDescent="0.25">
      <c r="B20" t="s">
        <v>135</v>
      </c>
      <c r="C20">
        <v>-1.0577399999999999</v>
      </c>
      <c r="D20">
        <v>-1.7213700000000001</v>
      </c>
      <c r="H20">
        <v>0.29631099999999999</v>
      </c>
      <c r="J20">
        <v>1.65046</v>
      </c>
      <c r="K20">
        <v>5.48088</v>
      </c>
      <c r="L20">
        <v>-11.76</v>
      </c>
      <c r="M20" s="3">
        <f>L20/1.15*Methane!S2</f>
        <v>-5.404226998090123</v>
      </c>
      <c r="N20" s="1">
        <f t="shared" si="0"/>
        <v>-12.515685998090124</v>
      </c>
      <c r="O20">
        <v>6.3620000000000001</v>
      </c>
      <c r="P20">
        <f t="shared" si="1"/>
        <v>-0.16625903803835271</v>
      </c>
      <c r="Q20">
        <f t="shared" si="2"/>
        <v>-0.27057057529078904</v>
      </c>
      <c r="R20">
        <f t="shared" si="15"/>
        <v>0</v>
      </c>
      <c r="S20">
        <f t="shared" si="3"/>
        <v>0</v>
      </c>
      <c r="T20">
        <f t="shared" si="4"/>
        <v>0</v>
      </c>
      <c r="U20">
        <f t="shared" si="5"/>
        <v>4.6575133605784344E-2</v>
      </c>
      <c r="W20">
        <f t="shared" si="6"/>
        <v>0.25942470921093996</v>
      </c>
      <c r="X20">
        <f t="shared" si="7"/>
        <v>0.86150267211568687</v>
      </c>
      <c r="Y20">
        <f t="shared" si="8"/>
        <v>-1.8484753222257151</v>
      </c>
      <c r="Z20">
        <f t="shared" si="9"/>
        <v>-0.84945410218329498</v>
      </c>
      <c r="AA20" s="1">
        <f t="shared" si="10"/>
        <v>-1.9672565228057408</v>
      </c>
      <c r="AB20">
        <f t="shared" si="11"/>
        <v>0.73067290160326948</v>
      </c>
      <c r="AC20">
        <f t="shared" si="12"/>
        <v>-2.69792942440901</v>
      </c>
      <c r="AH20">
        <f t="shared" si="13"/>
        <v>1.6274037097963585</v>
      </c>
      <c r="AK20">
        <f t="shared" si="14"/>
        <v>2.2607097969738481</v>
      </c>
    </row>
    <row r="21" spans="1:37" x14ac:dyDescent="0.25">
      <c r="B21" t="s">
        <v>32</v>
      </c>
      <c r="C21">
        <v>0.35244700000000001</v>
      </c>
      <c r="D21">
        <v>-2.7277699999999998E-2</v>
      </c>
      <c r="H21">
        <v>-0.121021</v>
      </c>
      <c r="J21">
        <v>0.87944299999999997</v>
      </c>
      <c r="K21">
        <v>2.7934700000000001</v>
      </c>
      <c r="L21">
        <v>-5.73</v>
      </c>
      <c r="M21" s="3">
        <f>L21/1.15*Methane!S2</f>
        <v>-2.6331820322326873</v>
      </c>
      <c r="N21" s="1">
        <f t="shared" si="0"/>
        <v>-4.4861207322326875</v>
      </c>
      <c r="O21">
        <v>1.6950000000000001</v>
      </c>
      <c r="P21">
        <f t="shared" si="1"/>
        <v>0.20793333333333333</v>
      </c>
      <c r="Q21">
        <f t="shared" si="2"/>
        <v>-1.6093038348082594E-2</v>
      </c>
      <c r="R21">
        <f t="shared" si="15"/>
        <v>0</v>
      </c>
      <c r="S21">
        <f t="shared" si="3"/>
        <v>0</v>
      </c>
      <c r="T21">
        <f t="shared" si="4"/>
        <v>0</v>
      </c>
      <c r="U21">
        <f t="shared" si="5"/>
        <v>-7.1398820058997045E-2</v>
      </c>
      <c r="W21">
        <f t="shared" si="6"/>
        <v>0.51884542772861353</v>
      </c>
      <c r="X21">
        <f t="shared" si="7"/>
        <v>1.6480648967551623</v>
      </c>
      <c r="Y21">
        <f t="shared" si="8"/>
        <v>-3.3805309734513274</v>
      </c>
      <c r="Z21">
        <f t="shared" si="9"/>
        <v>-1.5534997240310839</v>
      </c>
      <c r="AA21" s="1">
        <f t="shared" si="10"/>
        <v>-2.6466788980723819</v>
      </c>
      <c r="AB21">
        <f t="shared" si="11"/>
        <v>2.2873517994100294</v>
      </c>
      <c r="AC21">
        <f t="shared" si="12"/>
        <v>-4.9340306974824113</v>
      </c>
      <c r="AH21">
        <f t="shared" si="13"/>
        <v>-7.7395182821814332E-2</v>
      </c>
      <c r="AK21">
        <f t="shared" si="14"/>
        <v>-0.11786791458176694</v>
      </c>
    </row>
    <row r="22" spans="1:37" x14ac:dyDescent="0.25">
      <c r="B22" t="s">
        <v>33</v>
      </c>
      <c r="C22">
        <v>0.345883</v>
      </c>
      <c r="D22">
        <v>-7.7053499999999997E-2</v>
      </c>
      <c r="H22">
        <v>0.15826699999999999</v>
      </c>
      <c r="J22">
        <v>0.74085400000000001</v>
      </c>
      <c r="K22">
        <v>2.4981800000000001</v>
      </c>
      <c r="L22">
        <v>-6.96</v>
      </c>
      <c r="M22" s="3">
        <f>L22/1.15*Methane!S2</f>
        <v>-3.1984200600941541</v>
      </c>
      <c r="N22" s="1">
        <f t="shared" si="0"/>
        <v>-6.4922895600941537</v>
      </c>
      <c r="O22">
        <v>1.667</v>
      </c>
      <c r="P22">
        <f t="shared" si="1"/>
        <v>0.20748830233953208</v>
      </c>
      <c r="Q22">
        <f t="shared" si="2"/>
        <v>-4.6222855428914217E-2</v>
      </c>
      <c r="R22">
        <f t="shared" si="15"/>
        <v>0</v>
      </c>
      <c r="S22">
        <f t="shared" si="3"/>
        <v>0</v>
      </c>
      <c r="T22">
        <f t="shared" si="4"/>
        <v>0</v>
      </c>
      <c r="U22">
        <f t="shared" si="5"/>
        <v>9.4941211757648469E-2</v>
      </c>
      <c r="W22">
        <f t="shared" si="6"/>
        <v>0.44442351529694063</v>
      </c>
      <c r="X22">
        <f t="shared" si="7"/>
        <v>1.4986082783443311</v>
      </c>
      <c r="Y22">
        <f t="shared" si="8"/>
        <v>-4.1751649670065989</v>
      </c>
      <c r="Z22">
        <f t="shared" si="9"/>
        <v>-1.9186683023960132</v>
      </c>
      <c r="AA22" s="1">
        <f t="shared" si="10"/>
        <v>-3.8945948170930733</v>
      </c>
      <c r="AB22">
        <f t="shared" si="11"/>
        <v>2.1992384523095381</v>
      </c>
      <c r="AC22">
        <f t="shared" si="12"/>
        <v>-6.0938332694026123</v>
      </c>
      <c r="AH22">
        <f t="shared" si="13"/>
        <v>-0.22277330773700932</v>
      </c>
      <c r="AK22">
        <f t="shared" si="14"/>
        <v>-0.15283844094019636</v>
      </c>
    </row>
    <row r="23" spans="1:37" x14ac:dyDescent="0.25">
      <c r="B23" t="s">
        <v>28</v>
      </c>
      <c r="C23">
        <f>C15+C17+C19+C21</f>
        <v>-1.3988737999999998</v>
      </c>
      <c r="D23">
        <f>D15+D17+D19+D21</f>
        <v>-0.70089985999999993</v>
      </c>
      <c r="H23">
        <f>H15+H17+H19+H21</f>
        <v>5.7189859999999995E-2</v>
      </c>
      <c r="J23">
        <f t="shared" ref="J23:M24" si="31">J15+J17+J19+J21</f>
        <v>3.5249136000000005</v>
      </c>
      <c r="K23">
        <f t="shared" si="31"/>
        <v>11.242750000000001</v>
      </c>
      <c r="L23">
        <f t="shared" si="31"/>
        <v>-19.760000000000002</v>
      </c>
      <c r="M23">
        <f t="shared" si="31"/>
        <v>-9.0805718947500687</v>
      </c>
      <c r="N23" s="1">
        <f t="shared" si="0"/>
        <v>-16.115492094750067</v>
      </c>
      <c r="O23">
        <f>O15+O17+O19+O21</f>
        <v>11.052</v>
      </c>
      <c r="P23">
        <f t="shared" ref="P23:P24" si="32">C23/O23</f>
        <v>-0.12657200506695621</v>
      </c>
      <c r="Q23">
        <f t="shared" ref="Q23:Q24" si="33">D23/O23</f>
        <v>-6.3418373145132101E-2</v>
      </c>
      <c r="R23">
        <f t="shared" ref="R23:R24" si="34">E23/O23</f>
        <v>0</v>
      </c>
      <c r="S23">
        <f t="shared" ref="S23:S24" si="35">F23/O23</f>
        <v>0</v>
      </c>
      <c r="T23">
        <f t="shared" ref="T23:T24" si="36">G23/O23</f>
        <v>0</v>
      </c>
      <c r="U23">
        <f t="shared" ref="U23:U24" si="37">H23/O23</f>
        <v>5.1746163590300391E-3</v>
      </c>
      <c r="W23">
        <f t="shared" ref="W23:W24" si="38">J23/O23</f>
        <v>0.31893897937024979</v>
      </c>
      <c r="X23">
        <f t="shared" ref="X23:X24" si="39">K23/O23</f>
        <v>1.0172593195801667</v>
      </c>
      <c r="Y23">
        <f t="shared" ref="Y23:Y24" si="40">L23/O23</f>
        <v>-1.7879116901918206</v>
      </c>
      <c r="Z23">
        <f t="shared" ref="Z23:Z24" si="41">M23/O23</f>
        <v>-0.82162250223941991</v>
      </c>
      <c r="AA23" s="1">
        <f t="shared" ref="AA23:AA24" si="42">N23/O23</f>
        <v>-1.4581516553338822</v>
      </c>
      <c r="AB23">
        <f t="shared" ref="AB23:AB24" si="43">SUM(P23:X23)</f>
        <v>1.1513825370973583</v>
      </c>
      <c r="AC23">
        <f t="shared" ref="AC23:AC24" si="44">SUM(Y23:Z23)</f>
        <v>-2.6095341924312407</v>
      </c>
      <c r="AH23">
        <f t="shared" ref="AH23:AH24" si="45">D23/SUM(C23,E23:G23)</f>
        <v>0.50104581271019588</v>
      </c>
      <c r="AK23">
        <f t="shared" ref="AK23:AK24" si="46">D23/SUM(C23,E23:H23)</f>
        <v>0.52240310784371469</v>
      </c>
    </row>
    <row r="24" spans="1:37" x14ac:dyDescent="0.25">
      <c r="B24" t="s">
        <v>29</v>
      </c>
      <c r="C24">
        <f>C16+C18+C20+C22</f>
        <v>-0.81648509999999996</v>
      </c>
      <c r="D24">
        <f>D16+D18+D20+D22</f>
        <v>-2.4265952999999998</v>
      </c>
      <c r="H24">
        <f>H16+H18+H20+H22</f>
        <v>0.31248180000000003</v>
      </c>
      <c r="J24">
        <f t="shared" si="31"/>
        <v>2.5132246999999999</v>
      </c>
      <c r="K24">
        <f t="shared" si="31"/>
        <v>8.2872613000000008</v>
      </c>
      <c r="L24">
        <f t="shared" si="31"/>
        <v>-20.32</v>
      </c>
      <c r="M24">
        <f t="shared" si="31"/>
        <v>-9.3379160375162655</v>
      </c>
      <c r="N24" s="1">
        <f t="shared" si="0"/>
        <v>-21.788028637516263</v>
      </c>
      <c r="O24">
        <f>O16+O18+O20+O22</f>
        <v>11.141999999999999</v>
      </c>
      <c r="P24">
        <f t="shared" si="32"/>
        <v>-7.3279940764674201E-2</v>
      </c>
      <c r="Q24">
        <f t="shared" si="33"/>
        <v>-0.21778812600969305</v>
      </c>
      <c r="R24">
        <f t="shared" si="34"/>
        <v>0</v>
      </c>
      <c r="S24">
        <f t="shared" si="35"/>
        <v>0</v>
      </c>
      <c r="T24">
        <f t="shared" si="36"/>
        <v>0</v>
      </c>
      <c r="U24">
        <f t="shared" si="37"/>
        <v>2.8045395799676902E-2</v>
      </c>
      <c r="W24">
        <f t="shared" si="38"/>
        <v>0.22556315742236582</v>
      </c>
      <c r="X24">
        <f t="shared" si="39"/>
        <v>0.74378579249685883</v>
      </c>
      <c r="Y24">
        <f t="shared" si="40"/>
        <v>-1.823730030515168</v>
      </c>
      <c r="Z24">
        <f t="shared" si="41"/>
        <v>-0.83808257382124085</v>
      </c>
      <c r="AA24" s="1">
        <f t="shared" si="42"/>
        <v>-1.9554863253918744</v>
      </c>
      <c r="AB24">
        <f t="shared" si="43"/>
        <v>0.70632627894453437</v>
      </c>
      <c r="AC24">
        <f t="shared" si="44"/>
        <v>-2.6618126043364088</v>
      </c>
      <c r="AH24">
        <f t="shared" si="45"/>
        <v>2.9720019385534409</v>
      </c>
      <c r="AK24">
        <f t="shared" si="46"/>
        <v>4.8146416898460789</v>
      </c>
    </row>
    <row r="25" spans="1:37" x14ac:dyDescent="0.25">
      <c r="A25" t="s">
        <v>34</v>
      </c>
      <c r="B25" t="s">
        <v>24</v>
      </c>
      <c r="C25">
        <v>1.35237E-2</v>
      </c>
      <c r="D25" s="3">
        <v>-1.29343E-6</v>
      </c>
      <c r="E25">
        <v>4.4640499999999998E-4</v>
      </c>
      <c r="H25">
        <v>-1.7539200000000001E-2</v>
      </c>
      <c r="J25">
        <v>1.41817E-2</v>
      </c>
      <c r="K25">
        <v>7.3276599999999997E-2</v>
      </c>
      <c r="L25">
        <v>0.28999999999999998</v>
      </c>
      <c r="M25" s="3">
        <f>L25/1.15*Methane!S2</f>
        <v>0.13326750250392308</v>
      </c>
      <c r="N25" s="1">
        <f t="shared" si="0"/>
        <v>0.50715541407392306</v>
      </c>
      <c r="O25">
        <v>2.3479999999999999</v>
      </c>
      <c r="P25">
        <f t="shared" si="1"/>
        <v>5.7596678023850087E-3</v>
      </c>
      <c r="Q25">
        <f t="shared" si="2"/>
        <v>-5.5086456558773423E-7</v>
      </c>
      <c r="R25">
        <f t="shared" si="15"/>
        <v>1.9012137989778534E-4</v>
      </c>
      <c r="S25">
        <f t="shared" si="3"/>
        <v>0</v>
      </c>
      <c r="T25">
        <f t="shared" si="4"/>
        <v>0</v>
      </c>
      <c r="U25">
        <f t="shared" si="5"/>
        <v>-7.4698466780238511E-3</v>
      </c>
      <c r="W25">
        <f t="shared" si="6"/>
        <v>6.0399063032367979E-3</v>
      </c>
      <c r="X25">
        <f t="shared" si="7"/>
        <v>3.120809199318569E-2</v>
      </c>
      <c r="Y25">
        <f t="shared" si="8"/>
        <v>0.12350936967632027</v>
      </c>
      <c r="Z25">
        <f t="shared" si="9"/>
        <v>5.6757880112403361E-2</v>
      </c>
      <c r="AA25" s="1">
        <f t="shared" si="10"/>
        <v>0.21599463972483948</v>
      </c>
      <c r="AB25">
        <f t="shared" si="11"/>
        <v>3.5727389936115843E-2</v>
      </c>
      <c r="AC25">
        <f t="shared" si="12"/>
        <v>0.18026724978872363</v>
      </c>
      <c r="AH25">
        <f t="shared" si="13"/>
        <v>-9.258556038054116E-5</v>
      </c>
      <c r="AK25">
        <f t="shared" si="14"/>
        <v>3.6239719032415767E-4</v>
      </c>
    </row>
    <row r="26" spans="1:37" x14ac:dyDescent="0.25">
      <c r="B26" t="s">
        <v>25</v>
      </c>
      <c r="C26">
        <v>8.9739299999999998E-3</v>
      </c>
      <c r="D26">
        <v>5.9832699999999995E-4</v>
      </c>
      <c r="E26" s="3">
        <v>-9.929959999999999E-4</v>
      </c>
      <c r="H26">
        <v>-4.3332900000000001E-2</v>
      </c>
      <c r="J26">
        <v>1.31018E-2</v>
      </c>
      <c r="K26">
        <v>8.8936200000000007E-2</v>
      </c>
      <c r="L26">
        <v>0.46</v>
      </c>
      <c r="M26" s="3">
        <f>L26/1.15*Methane!S2</f>
        <v>0.21138983155794697</v>
      </c>
      <c r="N26" s="1">
        <f t="shared" si="0"/>
        <v>0.73867419255794697</v>
      </c>
      <c r="O26">
        <v>3.0870000000000002</v>
      </c>
      <c r="P26">
        <f t="shared" si="1"/>
        <v>2.9070068027210881E-3</v>
      </c>
      <c r="Q26">
        <f t="shared" si="2"/>
        <v>1.9382150955620341E-4</v>
      </c>
      <c r="R26">
        <f t="shared" si="15"/>
        <v>-3.2167022999676054E-4</v>
      </c>
      <c r="S26">
        <f t="shared" si="3"/>
        <v>0</v>
      </c>
      <c r="T26">
        <f t="shared" si="4"/>
        <v>0</v>
      </c>
      <c r="U26">
        <f t="shared" si="5"/>
        <v>-1.4037220602526724E-2</v>
      </c>
      <c r="W26">
        <f t="shared" si="6"/>
        <v>4.2441852931648849E-3</v>
      </c>
      <c r="X26">
        <f t="shared" si="7"/>
        <v>2.880991253644315E-2</v>
      </c>
      <c r="Y26">
        <f t="shared" si="8"/>
        <v>0.14901198574667962</v>
      </c>
      <c r="Z26">
        <f t="shared" si="9"/>
        <v>6.8477431667621297E-2</v>
      </c>
      <c r="AA26" s="1">
        <f t="shared" si="10"/>
        <v>0.23928545272366275</v>
      </c>
      <c r="AB26">
        <f t="shared" si="11"/>
        <v>2.1796035309361843E-2</v>
      </c>
      <c r="AC26">
        <f t="shared" si="12"/>
        <v>0.21748941741430092</v>
      </c>
      <c r="AH26">
        <f t="shared" si="13"/>
        <v>7.4969546170911811E-2</v>
      </c>
      <c r="AK26">
        <f t="shared" si="14"/>
        <v>-1.6924857870705124E-2</v>
      </c>
    </row>
    <row r="27" spans="1:37" x14ac:dyDescent="0.25">
      <c r="B27" t="s">
        <v>26</v>
      </c>
      <c r="C27">
        <v>6.2305600000000003E-2</v>
      </c>
      <c r="D27">
        <v>-9.2477499999999997E-4</v>
      </c>
      <c r="E27">
        <v>4.6503600000000001E-3</v>
      </c>
      <c r="H27">
        <v>-9.8675299999999994E-2</v>
      </c>
      <c r="J27">
        <v>0.12101099999999999</v>
      </c>
      <c r="K27">
        <v>0.76008900000000001</v>
      </c>
      <c r="L27">
        <v>1.57</v>
      </c>
      <c r="M27" s="3">
        <f>L27/1.15*Methane!S2</f>
        <v>0.7214826859695147</v>
      </c>
      <c r="N27" s="1">
        <f t="shared" si="0"/>
        <v>3.1399385709695151</v>
      </c>
      <c r="O27">
        <v>12.824</v>
      </c>
      <c r="P27">
        <f t="shared" si="1"/>
        <v>4.8585152838427946E-3</v>
      </c>
      <c r="Q27">
        <f t="shared" si="2"/>
        <v>-7.2112835308795999E-5</v>
      </c>
      <c r="R27">
        <f t="shared" si="15"/>
        <v>3.6262944479101684E-4</v>
      </c>
      <c r="S27">
        <f t="shared" si="3"/>
        <v>0</v>
      </c>
      <c r="T27">
        <f t="shared" si="4"/>
        <v>0</v>
      </c>
      <c r="U27">
        <f t="shared" si="5"/>
        <v>-7.6945804741110416E-3</v>
      </c>
      <c r="W27">
        <f t="shared" si="6"/>
        <v>9.4362913287585771E-3</v>
      </c>
      <c r="X27">
        <f t="shared" si="7"/>
        <v>5.9270820336868375E-2</v>
      </c>
      <c r="Y27">
        <f t="shared" si="8"/>
        <v>0.12242669993761697</v>
      </c>
      <c r="Z27">
        <f t="shared" si="9"/>
        <v>5.6260346691322106E-2</v>
      </c>
      <c r="AA27" s="1">
        <f t="shared" si="10"/>
        <v>0.24484860971378003</v>
      </c>
      <c r="AB27">
        <f t="shared" si="11"/>
        <v>6.6161563084840933E-2</v>
      </c>
      <c r="AC27">
        <f t="shared" si="12"/>
        <v>0.17868704662893908</v>
      </c>
      <c r="AH27">
        <f t="shared" si="13"/>
        <v>-1.3811690550027209E-2</v>
      </c>
      <c r="AK27">
        <f t="shared" si="14"/>
        <v>2.9154925669954052E-2</v>
      </c>
    </row>
    <row r="28" spans="1:37" x14ac:dyDescent="0.25">
      <c r="B28" t="s">
        <v>27</v>
      </c>
      <c r="C28">
        <v>5.3642599999999999E-2</v>
      </c>
      <c r="D28">
        <v>-1.67617E-3</v>
      </c>
      <c r="E28">
        <v>5.1963399999999998E-3</v>
      </c>
      <c r="H28">
        <v>-0.22212899999999999</v>
      </c>
      <c r="J28">
        <v>0.12701899999999999</v>
      </c>
      <c r="K28">
        <v>0.77054299999999998</v>
      </c>
      <c r="L28">
        <v>2.5099999999999998</v>
      </c>
      <c r="M28" s="3">
        <f>L28/1.15*Methane!S2</f>
        <v>1.1534532113270584</v>
      </c>
      <c r="N28" s="1">
        <f t="shared" si="0"/>
        <v>4.3960489813270582</v>
      </c>
      <c r="O28">
        <v>16.991</v>
      </c>
      <c r="P28">
        <f t="shared" si="1"/>
        <v>3.1571184744864926E-3</v>
      </c>
      <c r="Q28">
        <f t="shared" si="2"/>
        <v>-9.8650462009299049E-5</v>
      </c>
      <c r="R28">
        <f t="shared" si="15"/>
        <v>3.058289682773233E-4</v>
      </c>
      <c r="S28">
        <f t="shared" si="3"/>
        <v>0</v>
      </c>
      <c r="T28">
        <f t="shared" si="4"/>
        <v>0</v>
      </c>
      <c r="U28">
        <f t="shared" si="5"/>
        <v>-1.3073332940968747E-2</v>
      </c>
      <c r="W28">
        <f t="shared" si="6"/>
        <v>7.4756635866046724E-3</v>
      </c>
      <c r="X28">
        <f t="shared" si="7"/>
        <v>4.5350067682890939E-2</v>
      </c>
      <c r="Y28">
        <f t="shared" si="8"/>
        <v>0.14772526631746219</v>
      </c>
      <c r="Z28">
        <f t="shared" si="9"/>
        <v>6.7886128616741703E-2</v>
      </c>
      <c r="AA28" s="1">
        <f t="shared" si="10"/>
        <v>0.25872809024348525</v>
      </c>
      <c r="AB28">
        <f t="shared" si="11"/>
        <v>4.3116695309281382E-2</v>
      </c>
      <c r="AC28">
        <f t="shared" si="12"/>
        <v>0.21561139493420389</v>
      </c>
      <c r="AH28">
        <f t="shared" si="13"/>
        <v>-2.8487426863910193E-2</v>
      </c>
      <c r="AK28">
        <f t="shared" si="14"/>
        <v>1.026498489865213E-2</v>
      </c>
    </row>
    <row r="29" spans="1:37" x14ac:dyDescent="0.25">
      <c r="B29" t="s">
        <v>134</v>
      </c>
      <c r="C29">
        <v>2.4505200000000001E-2</v>
      </c>
      <c r="D29">
        <v>2.65541E-3</v>
      </c>
      <c r="E29">
        <v>2.7085399999999999E-2</v>
      </c>
      <c r="H29">
        <v>-0.69965999999999995</v>
      </c>
      <c r="J29">
        <v>0.450069</v>
      </c>
      <c r="K29">
        <v>2.77298</v>
      </c>
      <c r="L29">
        <v>4.54</v>
      </c>
      <c r="M29" s="3">
        <f>L29/1.15*Methane!S2</f>
        <v>2.0863257288545203</v>
      </c>
      <c r="N29" s="1">
        <f t="shared" si="0"/>
        <v>9.2039607388545193</v>
      </c>
      <c r="O29">
        <v>35.039000000000001</v>
      </c>
      <c r="P29">
        <f t="shared" si="1"/>
        <v>6.9936927423727843E-4</v>
      </c>
      <c r="Q29">
        <f t="shared" si="2"/>
        <v>7.5784411655583771E-5</v>
      </c>
      <c r="R29">
        <f t="shared" si="15"/>
        <v>7.7300722052569984E-4</v>
      </c>
      <c r="S29">
        <f t="shared" si="3"/>
        <v>0</v>
      </c>
      <c r="T29">
        <f t="shared" si="4"/>
        <v>0</v>
      </c>
      <c r="U29">
        <f t="shared" si="5"/>
        <v>-1.9968035617454832E-2</v>
      </c>
      <c r="W29">
        <f t="shared" si="6"/>
        <v>1.2844801506892319E-2</v>
      </c>
      <c r="X29">
        <f t="shared" si="7"/>
        <v>7.9139815634007821E-2</v>
      </c>
      <c r="Y29">
        <f t="shared" si="8"/>
        <v>0.12956990781700389</v>
      </c>
      <c r="Z29">
        <f t="shared" si="9"/>
        <v>5.9542958670467772E-2</v>
      </c>
      <c r="AA29" s="1">
        <f t="shared" si="10"/>
        <v>0.26267760891733549</v>
      </c>
      <c r="AB29">
        <f t="shared" si="11"/>
        <v>7.3564742429863869E-2</v>
      </c>
      <c r="AC29">
        <f t="shared" si="12"/>
        <v>0.18911286648747166</v>
      </c>
      <c r="AH29">
        <f t="shared" si="13"/>
        <v>5.1470810574019296E-2</v>
      </c>
      <c r="AK29">
        <f t="shared" si="14"/>
        <v>-4.0974161100647563E-3</v>
      </c>
    </row>
    <row r="30" spans="1:37" x14ac:dyDescent="0.25">
      <c r="B30" t="s">
        <v>135</v>
      </c>
      <c r="C30">
        <v>6.7899500000000002E-2</v>
      </c>
      <c r="D30">
        <v>3.6494499999999998E-3</v>
      </c>
      <c r="E30">
        <v>2.7700800000000001E-2</v>
      </c>
      <c r="H30">
        <v>-0.721163</v>
      </c>
      <c r="J30">
        <v>0.374218</v>
      </c>
      <c r="K30">
        <v>2.36721</v>
      </c>
      <c r="L30">
        <v>5.25</v>
      </c>
      <c r="M30" s="3">
        <f>L30/1.15*Methane!S2</f>
        <v>2.4126013384330904</v>
      </c>
      <c r="N30" s="1">
        <f t="shared" si="0"/>
        <v>9.7821160884330904</v>
      </c>
      <c r="O30">
        <v>35.100999999999999</v>
      </c>
      <c r="P30">
        <f t="shared" si="1"/>
        <v>1.9344035782456342E-3</v>
      </c>
      <c r="Q30">
        <f t="shared" si="2"/>
        <v>1.0396997236545967E-4</v>
      </c>
      <c r="R30">
        <f t="shared" si="15"/>
        <v>7.8917409760405691E-4</v>
      </c>
      <c r="S30">
        <f t="shared" si="3"/>
        <v>0</v>
      </c>
      <c r="T30">
        <f t="shared" si="4"/>
        <v>0</v>
      </c>
      <c r="U30">
        <f t="shared" si="5"/>
        <v>-2.0545369077804052E-2</v>
      </c>
      <c r="W30">
        <f t="shared" si="6"/>
        <v>1.0661177744223812E-2</v>
      </c>
      <c r="X30">
        <f t="shared" si="7"/>
        <v>6.7439958975527764E-2</v>
      </c>
      <c r="Y30">
        <f t="shared" si="8"/>
        <v>0.14956838836500386</v>
      </c>
      <c r="Z30">
        <f t="shared" si="9"/>
        <v>6.873312265841687E-2</v>
      </c>
      <c r="AA30" s="1">
        <f t="shared" si="10"/>
        <v>0.27868482631358338</v>
      </c>
      <c r="AB30">
        <f t="shared" si="11"/>
        <v>6.0383315290162679E-2</v>
      </c>
      <c r="AC30">
        <f t="shared" si="12"/>
        <v>0.21830151102342071</v>
      </c>
      <c r="AH30">
        <f t="shared" si="13"/>
        <v>3.8174043386893133E-2</v>
      </c>
      <c r="AK30">
        <f t="shared" si="14"/>
        <v>-5.8338676522753027E-3</v>
      </c>
    </row>
    <row r="31" spans="1:37" x14ac:dyDescent="0.25">
      <c r="B31" t="s">
        <v>32</v>
      </c>
      <c r="C31">
        <v>5.2766599999999999E-4</v>
      </c>
      <c r="D31">
        <v>-5.0195899999999996E-4</v>
      </c>
      <c r="E31">
        <v>-6.1919600000000003E-4</v>
      </c>
      <c r="J31">
        <v>3.1387400000000001E-3</v>
      </c>
      <c r="K31">
        <v>1.59621E-2</v>
      </c>
      <c r="L31">
        <v>0.01</v>
      </c>
      <c r="M31" s="3">
        <f>L31/1.15*Methane!S2</f>
        <v>4.5954311208249339E-3</v>
      </c>
      <c r="N31" s="1">
        <f t="shared" si="0"/>
        <v>3.3102782120824931E-2</v>
      </c>
      <c r="O31">
        <v>0.115</v>
      </c>
      <c r="P31">
        <f t="shared" si="1"/>
        <v>4.5883999999999994E-3</v>
      </c>
      <c r="Q31">
        <f t="shared" si="2"/>
        <v>-4.3648608695652166E-3</v>
      </c>
      <c r="R31">
        <f t="shared" si="15"/>
        <v>-5.3843130434782609E-3</v>
      </c>
      <c r="S31">
        <f t="shared" si="3"/>
        <v>0</v>
      </c>
      <c r="T31">
        <f t="shared" si="4"/>
        <v>0</v>
      </c>
      <c r="U31">
        <f t="shared" si="5"/>
        <v>0</v>
      </c>
      <c r="W31">
        <f t="shared" si="6"/>
        <v>2.7293391304347825E-2</v>
      </c>
      <c r="X31">
        <f t="shared" si="7"/>
        <v>0.13880086956521739</v>
      </c>
      <c r="Y31">
        <f t="shared" si="8"/>
        <v>8.6956521739130432E-2</v>
      </c>
      <c r="Z31">
        <f t="shared" si="9"/>
        <v>3.9960270615868987E-2</v>
      </c>
      <c r="AA31" s="1">
        <f t="shared" si="10"/>
        <v>0.28785027931152113</v>
      </c>
      <c r="AB31">
        <f t="shared" si="11"/>
        <v>0.16093348695652174</v>
      </c>
      <c r="AC31">
        <f t="shared" si="12"/>
        <v>0.12691679235499942</v>
      </c>
      <c r="AH31">
        <f t="shared" si="13"/>
        <v>5.4840926472194882</v>
      </c>
      <c r="AK31">
        <f t="shared" si="14"/>
        <v>5.4840926472194882</v>
      </c>
    </row>
    <row r="32" spans="1:37" x14ac:dyDescent="0.25">
      <c r="B32" t="s">
        <v>33</v>
      </c>
      <c r="C32">
        <v>1.1554200000000001E-3</v>
      </c>
      <c r="D32" s="3">
        <v>-2.7082099999999997E-4</v>
      </c>
      <c r="E32" s="3">
        <v>4.4225699999999999E-5</v>
      </c>
      <c r="J32">
        <v>-2.3981699999999998E-3</v>
      </c>
      <c r="K32">
        <v>-3.6102E-3</v>
      </c>
      <c r="L32">
        <v>0.02</v>
      </c>
      <c r="M32" s="3">
        <f>L32/1.15*Methane!S2</f>
        <v>9.1908622416498678E-3</v>
      </c>
      <c r="N32" s="1">
        <f t="shared" si="0"/>
        <v>2.411131694164987E-2</v>
      </c>
      <c r="O32">
        <v>0.113</v>
      </c>
      <c r="P32">
        <f t="shared" si="1"/>
        <v>1.022495575221239E-2</v>
      </c>
      <c r="Q32">
        <f t="shared" si="2"/>
        <v>-2.3966460176991148E-3</v>
      </c>
      <c r="R32">
        <f t="shared" si="15"/>
        <v>3.9137787610619469E-4</v>
      </c>
      <c r="S32">
        <f t="shared" si="3"/>
        <v>0</v>
      </c>
      <c r="T32">
        <f t="shared" si="4"/>
        <v>0</v>
      </c>
      <c r="U32">
        <f t="shared" si="5"/>
        <v>0</v>
      </c>
      <c r="W32">
        <f t="shared" si="6"/>
        <v>-2.1222743362831857E-2</v>
      </c>
      <c r="X32">
        <f t="shared" si="7"/>
        <v>-3.1948672566371683E-2</v>
      </c>
      <c r="Y32">
        <f t="shared" si="8"/>
        <v>0.17699115044247787</v>
      </c>
      <c r="Z32">
        <f t="shared" si="9"/>
        <v>8.1335064085397063E-2</v>
      </c>
      <c r="AA32" s="1">
        <f t="shared" si="10"/>
        <v>0.21337448620929086</v>
      </c>
      <c r="AB32">
        <f t="shared" si="11"/>
        <v>-4.4951728318584072E-2</v>
      </c>
      <c r="AC32">
        <f t="shared" si="12"/>
        <v>0.25832621452787496</v>
      </c>
      <c r="AH32">
        <f t="shared" si="13"/>
        <v>-0.2257508195961524</v>
      </c>
      <c r="AK32">
        <f t="shared" si="14"/>
        <v>-0.2257508195961524</v>
      </c>
    </row>
    <row r="33" spans="1:37" x14ac:dyDescent="0.25">
      <c r="B33" t="s">
        <v>28</v>
      </c>
      <c r="C33">
        <f t="shared" ref="C33:E34" si="47">C25+C27+C29</f>
        <v>0.10033450000000001</v>
      </c>
      <c r="D33">
        <f t="shared" si="47"/>
        <v>1.72934157E-3</v>
      </c>
      <c r="E33">
        <f t="shared" si="47"/>
        <v>3.2182164999999999E-2</v>
      </c>
      <c r="H33">
        <f>H25+H27+H29</f>
        <v>-0.81587449999999995</v>
      </c>
      <c r="J33">
        <f t="shared" ref="J33:M34" si="48">J25+J27+J29</f>
        <v>0.5852617</v>
      </c>
      <c r="K33">
        <f t="shared" si="48"/>
        <v>3.6063456</v>
      </c>
      <c r="L33">
        <f t="shared" si="48"/>
        <v>6.4</v>
      </c>
      <c r="M33">
        <f t="shared" si="48"/>
        <v>2.9410759173279581</v>
      </c>
      <c r="N33" s="1">
        <f t="shared" si="0"/>
        <v>12.85105472389796</v>
      </c>
      <c r="O33">
        <f>O25+O27+O29</f>
        <v>50.210999999999999</v>
      </c>
      <c r="P33">
        <f t="shared" ref="P33:P34" si="49">C33/O33</f>
        <v>1.9982573539662624E-3</v>
      </c>
      <c r="Q33">
        <f t="shared" ref="Q33:Q34" si="50">D33/O33</f>
        <v>3.4441488319292586E-5</v>
      </c>
      <c r="R33">
        <f t="shared" ref="R33:R34" si="51">E33/O33</f>
        <v>6.4093853936388436E-4</v>
      </c>
      <c r="S33">
        <f t="shared" ref="S33:S34" si="52">F33/O33</f>
        <v>0</v>
      </c>
      <c r="T33">
        <f t="shared" ref="T33:T34" si="53">G33/O33</f>
        <v>0</v>
      </c>
      <c r="U33">
        <f t="shared" ref="U33:U34" si="54">H33/O33</f>
        <v>-1.6248919559459084E-2</v>
      </c>
      <c r="W33">
        <f t="shared" ref="W33:W34" si="55">J33/O33</f>
        <v>1.1656045488040469E-2</v>
      </c>
      <c r="X33">
        <f t="shared" ref="X33:X34" si="56">K33/O33</f>
        <v>7.1823815498595928E-2</v>
      </c>
      <c r="Y33">
        <f t="shared" ref="Y33:Y34" si="57">L33/O33</f>
        <v>0.12746210989623788</v>
      </c>
      <c r="Z33">
        <f t="shared" ref="Z33:Z34" si="58">M33/O33</f>
        <v>5.8574334654317946E-2</v>
      </c>
      <c r="AA33" s="1">
        <f t="shared" ref="AA33:AA34" si="59">N33/O33</f>
        <v>0.25594102335938262</v>
      </c>
      <c r="AB33">
        <f t="shared" ref="AB33:AB34" si="60">SUM(P33:X33)</f>
        <v>6.9904578808826751E-2</v>
      </c>
      <c r="AC33">
        <f t="shared" ref="AC33:AC34" si="61">SUM(Y33:Z33)</f>
        <v>0.18603644455055582</v>
      </c>
      <c r="AH33">
        <f t="shared" ref="AH33:AH34" si="62">D33/SUM(C33,E33:G33)</f>
        <v>1.3049993146145052E-2</v>
      </c>
      <c r="AK33">
        <f t="shared" ref="AK33:AK34" si="63">D33/SUM(C33,E33:H33)</f>
        <v>-2.5306530216339736E-3</v>
      </c>
    </row>
    <row r="34" spans="1:37" x14ac:dyDescent="0.25">
      <c r="B34" t="s">
        <v>29</v>
      </c>
      <c r="C34">
        <f t="shared" si="47"/>
        <v>0.13051603000000001</v>
      </c>
      <c r="D34">
        <f t="shared" si="47"/>
        <v>2.5716069999999996E-3</v>
      </c>
      <c r="E34">
        <f t="shared" si="47"/>
        <v>3.1904144000000002E-2</v>
      </c>
      <c r="H34">
        <f>H26+H28+H30</f>
        <v>-0.98662490000000003</v>
      </c>
      <c r="J34">
        <f t="shared" si="48"/>
        <v>0.51433879999999998</v>
      </c>
      <c r="K34">
        <f t="shared" si="48"/>
        <v>3.2266892</v>
      </c>
      <c r="L34">
        <f t="shared" si="48"/>
        <v>8.2199999999999989</v>
      </c>
      <c r="M34">
        <f t="shared" si="48"/>
        <v>3.7774443813180958</v>
      </c>
      <c r="N34" s="1">
        <f t="shared" si="0"/>
        <v>14.916839262318096</v>
      </c>
      <c r="O34">
        <f>O26+O28+O30</f>
        <v>55.179000000000002</v>
      </c>
      <c r="P34">
        <f t="shared" si="49"/>
        <v>2.365320683593396E-3</v>
      </c>
      <c r="Q34">
        <f t="shared" si="50"/>
        <v>4.6604813425397334E-5</v>
      </c>
      <c r="R34">
        <f t="shared" si="51"/>
        <v>5.7819358814041578E-4</v>
      </c>
      <c r="S34">
        <f t="shared" si="52"/>
        <v>0</v>
      </c>
      <c r="T34">
        <f t="shared" si="53"/>
        <v>0</v>
      </c>
      <c r="U34">
        <f t="shared" si="54"/>
        <v>-1.7880441834755977E-2</v>
      </c>
      <c r="W34">
        <f t="shared" si="55"/>
        <v>9.3212780224360709E-3</v>
      </c>
      <c r="X34">
        <f t="shared" si="56"/>
        <v>5.8476761086645283E-2</v>
      </c>
      <c r="Y34">
        <f t="shared" si="57"/>
        <v>0.14896971674006412</v>
      </c>
      <c r="Z34">
        <f t="shared" si="58"/>
        <v>6.84580072367766E-2</v>
      </c>
      <c r="AA34" s="1">
        <f t="shared" si="59"/>
        <v>0.27033544033632534</v>
      </c>
      <c r="AB34">
        <f t="shared" si="60"/>
        <v>5.2907716359484588E-2</v>
      </c>
      <c r="AC34">
        <f t="shared" si="61"/>
        <v>0.21742772397684074</v>
      </c>
      <c r="AH34">
        <f t="shared" si="62"/>
        <v>1.5833051625717378E-2</v>
      </c>
      <c r="AK34">
        <f t="shared" si="63"/>
        <v>-3.1201070788327407E-3</v>
      </c>
    </row>
    <row r="35" spans="1:37" x14ac:dyDescent="0.25">
      <c r="A35" t="s">
        <v>35</v>
      </c>
      <c r="B35" t="s">
        <v>24</v>
      </c>
      <c r="C35">
        <v>-3.2168600000000002E-3</v>
      </c>
      <c r="D35">
        <v>-1.10779E-3</v>
      </c>
      <c r="E35">
        <v>-7.9027799999999995E-2</v>
      </c>
      <c r="H35">
        <v>-1.6396399999999998E-2</v>
      </c>
      <c r="J35">
        <v>2.0459700000000001E-2</v>
      </c>
      <c r="K35">
        <v>7.1052299999999999E-2</v>
      </c>
      <c r="L35">
        <v>0.13</v>
      </c>
      <c r="M35" s="3">
        <f>L35/1.15*Methane!S2</f>
        <v>5.9740604570724144E-2</v>
      </c>
      <c r="N35" s="1">
        <f t="shared" si="0"/>
        <v>0.18150375457072415</v>
      </c>
      <c r="O35">
        <f>0.785*A38</f>
        <v>0.2004255319148936</v>
      </c>
      <c r="P35">
        <f t="shared" si="1"/>
        <v>-1.6050150743099789E-2</v>
      </c>
      <c r="Q35">
        <f t="shared" si="2"/>
        <v>-5.5271900212314233E-3</v>
      </c>
      <c r="R35">
        <f t="shared" si="15"/>
        <v>-0.39430006369426751</v>
      </c>
      <c r="S35">
        <f t="shared" si="3"/>
        <v>0</v>
      </c>
      <c r="T35">
        <f t="shared" si="4"/>
        <v>0</v>
      </c>
      <c r="U35">
        <f t="shared" si="5"/>
        <v>-8.1807940552016983E-2</v>
      </c>
      <c r="W35">
        <f t="shared" si="6"/>
        <v>0.1020813057324841</v>
      </c>
      <c r="X35">
        <f t="shared" si="7"/>
        <v>0.35450722929936307</v>
      </c>
      <c r="Y35">
        <f t="shared" si="8"/>
        <v>0.64861995753715507</v>
      </c>
      <c r="Z35">
        <f t="shared" si="9"/>
        <v>0.29806883384543897</v>
      </c>
      <c r="AA35" s="1">
        <f t="shared" si="10"/>
        <v>0.90559198140382546</v>
      </c>
      <c r="AB35">
        <f t="shared" si="11"/>
        <v>-4.1096809978768523E-2</v>
      </c>
      <c r="AC35">
        <f t="shared" si="12"/>
        <v>0.9466887913825941</v>
      </c>
      <c r="AH35">
        <f t="shared" si="13"/>
        <v>1.3469445919042039E-2</v>
      </c>
      <c r="AK35">
        <f t="shared" si="14"/>
        <v>1.1230515973774004E-2</v>
      </c>
    </row>
    <row r="36" spans="1:37" x14ac:dyDescent="0.25">
      <c r="A36" t="s">
        <v>36</v>
      </c>
      <c r="B36" t="s">
        <v>25</v>
      </c>
      <c r="C36" s="3">
        <v>6.9077699999999998E-6</v>
      </c>
      <c r="D36">
        <v>-6.2659600000000001E-3</v>
      </c>
      <c r="E36">
        <v>-7.7751100000000004E-2</v>
      </c>
      <c r="H36">
        <v>-2.57632E-2</v>
      </c>
      <c r="J36">
        <v>3.3678E-2</v>
      </c>
      <c r="K36">
        <v>0.115248</v>
      </c>
      <c r="L36">
        <v>0.04</v>
      </c>
      <c r="M36" s="3">
        <f>L36/1.15*Methane!S2</f>
        <v>1.8381724483299736E-2</v>
      </c>
      <c r="N36" s="1">
        <f t="shared" si="0"/>
        <v>9.7534372253299736E-2</v>
      </c>
      <c r="O36">
        <f>0.931*A38</f>
        <v>0.23770212765957446</v>
      </c>
      <c r="P36">
        <f t="shared" si="1"/>
        <v>2.90606149301826E-5</v>
      </c>
      <c r="Q36">
        <f t="shared" si="2"/>
        <v>-2.6360554958825635E-2</v>
      </c>
      <c r="R36">
        <f t="shared" si="15"/>
        <v>-0.32709467418546367</v>
      </c>
      <c r="S36">
        <f t="shared" si="3"/>
        <v>0</v>
      </c>
      <c r="T36">
        <f t="shared" si="4"/>
        <v>0</v>
      </c>
      <c r="U36">
        <f t="shared" si="5"/>
        <v>-0.10838438954529181</v>
      </c>
      <c r="W36">
        <f t="shared" si="6"/>
        <v>0.14168152524167563</v>
      </c>
      <c r="X36">
        <f t="shared" si="7"/>
        <v>0.48484210526315791</v>
      </c>
      <c r="Y36">
        <f t="shared" si="8"/>
        <v>0.1682778374507698</v>
      </c>
      <c r="Z36">
        <f t="shared" si="9"/>
        <v>7.7330921116638709E-2</v>
      </c>
      <c r="AA36" s="1">
        <f t="shared" si="10"/>
        <v>0.41032183099759112</v>
      </c>
      <c r="AB36">
        <f t="shared" si="11"/>
        <v>0.16471307243018257</v>
      </c>
      <c r="AC36">
        <f t="shared" si="12"/>
        <v>0.24560875856740849</v>
      </c>
      <c r="AH36">
        <f t="shared" si="13"/>
        <v>8.0597145848048127E-2</v>
      </c>
      <c r="AK36">
        <f t="shared" si="14"/>
        <v>6.0536352670122716E-2</v>
      </c>
    </row>
    <row r="37" spans="1:37" x14ac:dyDescent="0.25">
      <c r="A37" t="s">
        <v>45</v>
      </c>
      <c r="B37" t="s">
        <v>26</v>
      </c>
      <c r="C37" s="3">
        <v>2.0902E-2</v>
      </c>
      <c r="D37">
        <v>-2.4011100000000001E-3</v>
      </c>
      <c r="E37">
        <v>-0.187222</v>
      </c>
      <c r="H37">
        <v>-1.54307E-2</v>
      </c>
      <c r="J37">
        <v>0.117051</v>
      </c>
      <c r="K37">
        <v>0.61693799999999999</v>
      </c>
      <c r="L37">
        <v>0.15</v>
      </c>
      <c r="M37" s="3">
        <f>L37/1.15*Methane!S2</f>
        <v>6.8931466812373998E-2</v>
      </c>
      <c r="N37" s="1">
        <f t="shared" si="0"/>
        <v>0.76876865681237394</v>
      </c>
      <c r="O37">
        <f>1.966*A38</f>
        <v>0.50195744680851062</v>
      </c>
      <c r="P37">
        <f t="shared" si="1"/>
        <v>4.1640979993218044E-2</v>
      </c>
      <c r="Q37">
        <f t="shared" si="2"/>
        <v>-4.7834931332655138E-3</v>
      </c>
      <c r="R37">
        <f t="shared" si="15"/>
        <v>-0.37298380807053239</v>
      </c>
      <c r="S37">
        <f t="shared" si="3"/>
        <v>0</v>
      </c>
      <c r="T37">
        <f t="shared" si="4"/>
        <v>0</v>
      </c>
      <c r="U37">
        <f t="shared" si="5"/>
        <v>-3.0741052051542896E-2</v>
      </c>
      <c r="W37">
        <f t="shared" si="6"/>
        <v>0.23318908952187184</v>
      </c>
      <c r="X37">
        <f t="shared" si="7"/>
        <v>1.2290643438453712</v>
      </c>
      <c r="Y37">
        <f t="shared" si="8"/>
        <v>0.29883011190233977</v>
      </c>
      <c r="Z37">
        <f t="shared" si="9"/>
        <v>0.13732531960756095</v>
      </c>
      <c r="AA37" s="1">
        <f t="shared" si="10"/>
        <v>1.531541491615021</v>
      </c>
      <c r="AB37">
        <f t="shared" si="11"/>
        <v>1.0953860601051204</v>
      </c>
      <c r="AC37">
        <f t="shared" si="12"/>
        <v>0.43615543150990072</v>
      </c>
      <c r="AH37">
        <f t="shared" si="13"/>
        <v>1.4436688311688314E-2</v>
      </c>
      <c r="AK37">
        <f t="shared" si="14"/>
        <v>1.3211008265717823E-2</v>
      </c>
    </row>
    <row r="38" spans="1:37" x14ac:dyDescent="0.25">
      <c r="A38">
        <f>12/47</f>
        <v>0.25531914893617019</v>
      </c>
      <c r="B38" t="s">
        <v>27</v>
      </c>
      <c r="C38">
        <v>2.8226399999999999E-2</v>
      </c>
      <c r="D38">
        <v>7.1909299999999995E-2</v>
      </c>
      <c r="E38">
        <v>-0.282337</v>
      </c>
      <c r="H38">
        <v>8.78998E-2</v>
      </c>
      <c r="J38">
        <v>0.12959499999999999</v>
      </c>
      <c r="K38">
        <v>0.47633999999999999</v>
      </c>
      <c r="L38">
        <v>0.01</v>
      </c>
      <c r="M38" s="3">
        <f>L38/1.15*Methane!S2</f>
        <v>4.5954311208249339E-3</v>
      </c>
      <c r="N38" s="1">
        <f t="shared" si="0"/>
        <v>0.52622893112082492</v>
      </c>
      <c r="O38">
        <f>2.472*A38</f>
        <v>0.63114893617021273</v>
      </c>
      <c r="P38">
        <f t="shared" si="1"/>
        <v>4.4722249190938514E-2</v>
      </c>
      <c r="Q38">
        <f t="shared" si="2"/>
        <v>0.11393396372707659</v>
      </c>
      <c r="R38">
        <f t="shared" si="15"/>
        <v>-0.44733815399137006</v>
      </c>
      <c r="S38">
        <f t="shared" si="3"/>
        <v>0</v>
      </c>
      <c r="T38">
        <f t="shared" si="4"/>
        <v>0</v>
      </c>
      <c r="U38">
        <f t="shared" si="5"/>
        <v>0.13926950512405611</v>
      </c>
      <c r="W38">
        <f t="shared" si="6"/>
        <v>0.2053318837648328</v>
      </c>
      <c r="X38">
        <f t="shared" si="7"/>
        <v>0.75471885113268611</v>
      </c>
      <c r="Y38">
        <f t="shared" si="8"/>
        <v>1.5844120819848977E-2</v>
      </c>
      <c r="Z38">
        <f t="shared" si="9"/>
        <v>7.281056589764425E-3</v>
      </c>
      <c r="AA38" s="1">
        <f t="shared" si="10"/>
        <v>0.83376347635783354</v>
      </c>
      <c r="AB38">
        <f t="shared" si="11"/>
        <v>0.81063829894822004</v>
      </c>
      <c r="AC38">
        <f t="shared" si="12"/>
        <v>2.3125177409613402E-2</v>
      </c>
      <c r="AH38">
        <f t="shared" si="13"/>
        <v>-0.2829842596097919</v>
      </c>
      <c r="AK38">
        <f t="shared" si="14"/>
        <v>-0.43263915461570479</v>
      </c>
    </row>
    <row r="39" spans="1:37" x14ac:dyDescent="0.25">
      <c r="B39" t="s">
        <v>134</v>
      </c>
      <c r="C39">
        <v>-3.6518000000000002E-2</v>
      </c>
      <c r="D39">
        <v>2.2903799999999998E-2</v>
      </c>
      <c r="E39">
        <v>-1.86856</v>
      </c>
      <c r="H39">
        <v>-0.59458599999999995</v>
      </c>
      <c r="J39">
        <v>0.59360900000000005</v>
      </c>
      <c r="K39">
        <v>3.1110000000000002</v>
      </c>
      <c r="L39">
        <v>1.66</v>
      </c>
      <c r="M39" s="3">
        <f>L39/1.15*Methane!S2</f>
        <v>0.76284156605693909</v>
      </c>
      <c r="N39" s="1">
        <f t="shared" si="0"/>
        <v>3.6506903660569394</v>
      </c>
      <c r="O39">
        <f>8.385*A38</f>
        <v>2.1408510638297868</v>
      </c>
      <c r="P39">
        <f t="shared" si="1"/>
        <v>-1.7057702246074342E-2</v>
      </c>
      <c r="Q39">
        <f t="shared" si="2"/>
        <v>1.0698455575432321E-2</v>
      </c>
      <c r="R39">
        <f t="shared" si="15"/>
        <v>-0.87281176704432539</v>
      </c>
      <c r="S39">
        <f t="shared" si="3"/>
        <v>0</v>
      </c>
      <c r="T39">
        <f t="shared" si="4"/>
        <v>0</v>
      </c>
      <c r="U39">
        <f t="shared" si="5"/>
        <v>-0.27773347247068181</v>
      </c>
      <c r="W39">
        <f t="shared" si="6"/>
        <v>0.27727711190618176</v>
      </c>
      <c r="X39">
        <f t="shared" si="7"/>
        <v>1.4531604054859872</v>
      </c>
      <c r="Y39">
        <f t="shared" si="8"/>
        <v>0.77539256609024065</v>
      </c>
      <c r="Z39">
        <f t="shared" si="9"/>
        <v>0.35632631290673966</v>
      </c>
      <c r="AA39" s="1">
        <f t="shared" si="10"/>
        <v>1.7052519102035002</v>
      </c>
      <c r="AB39">
        <f t="shared" si="11"/>
        <v>0.57353303120651977</v>
      </c>
      <c r="AC39">
        <f t="shared" si="12"/>
        <v>1.1317188789969803</v>
      </c>
      <c r="AH39">
        <f t="shared" si="13"/>
        <v>-1.2022499866147212E-2</v>
      </c>
      <c r="AK39">
        <f t="shared" si="14"/>
        <v>-9.1627514737980774E-3</v>
      </c>
    </row>
    <row r="40" spans="1:37" x14ac:dyDescent="0.25">
      <c r="B40" t="s">
        <v>135</v>
      </c>
      <c r="C40">
        <v>8.8528200000000001E-2</v>
      </c>
      <c r="D40">
        <v>7.2005299999999994E-2</v>
      </c>
      <c r="E40">
        <v>-1.8231999999999999</v>
      </c>
      <c r="H40">
        <v>-0.51157300000000006</v>
      </c>
      <c r="J40">
        <v>0.52973800000000004</v>
      </c>
      <c r="K40">
        <v>2.6935500000000001</v>
      </c>
      <c r="L40">
        <v>1.6</v>
      </c>
      <c r="M40" s="3">
        <f>L40/1.15*Methane!S2</f>
        <v>0.73526897933198954</v>
      </c>
      <c r="N40" s="1">
        <f t="shared" si="0"/>
        <v>3.3843174793319903</v>
      </c>
      <c r="O40">
        <f>8.439*A38</f>
        <v>2.1546382978723404</v>
      </c>
      <c r="P40">
        <f t="shared" si="1"/>
        <v>4.1087267448749853E-2</v>
      </c>
      <c r="Q40">
        <f t="shared" si="2"/>
        <v>3.3418741359560765E-2</v>
      </c>
      <c r="R40">
        <f t="shared" si="15"/>
        <v>-0.84617450724809418</v>
      </c>
      <c r="S40">
        <f t="shared" si="3"/>
        <v>0</v>
      </c>
      <c r="T40">
        <f t="shared" si="4"/>
        <v>0</v>
      </c>
      <c r="U40">
        <f t="shared" si="5"/>
        <v>-0.23742871390765102</v>
      </c>
      <c r="W40">
        <f t="shared" si="6"/>
        <v>0.24585936327368965</v>
      </c>
      <c r="X40">
        <f t="shared" si="7"/>
        <v>1.2501170162341511</v>
      </c>
      <c r="Y40">
        <f t="shared" si="8"/>
        <v>0.74258403444325949</v>
      </c>
      <c r="Z40">
        <f t="shared" si="9"/>
        <v>0.34124937817082895</v>
      </c>
      <c r="AA40" s="1">
        <f t="shared" si="10"/>
        <v>1.570712579774495</v>
      </c>
      <c r="AB40">
        <f t="shared" si="11"/>
        <v>0.48687916716040602</v>
      </c>
      <c r="AC40">
        <f t="shared" si="12"/>
        <v>1.0838334126140885</v>
      </c>
      <c r="AH40">
        <f t="shared" si="13"/>
        <v>-4.1509465940473583E-2</v>
      </c>
      <c r="AK40">
        <f t="shared" si="14"/>
        <v>-3.2055856066978985E-2</v>
      </c>
    </row>
    <row r="41" spans="1:37" x14ac:dyDescent="0.25">
      <c r="B41" t="s">
        <v>32</v>
      </c>
      <c r="C41">
        <v>5.3284400000000003E-3</v>
      </c>
      <c r="D41" s="3">
        <v>9.1758900000000007E-5</v>
      </c>
      <c r="E41">
        <v>-5.2767100000000004E-3</v>
      </c>
      <c r="J41">
        <v>1.6970200000000001E-2</v>
      </c>
      <c r="K41">
        <v>8.9910900000000002E-2</v>
      </c>
      <c r="L41">
        <v>0.09</v>
      </c>
      <c r="M41" s="3">
        <f>L41/1.15*Methane!S2</f>
        <v>4.1358880087424409E-2</v>
      </c>
      <c r="N41" s="1">
        <f t="shared" si="0"/>
        <v>0.23838346898742441</v>
      </c>
      <c r="O41">
        <f>0.286*A38</f>
        <v>7.3021276595744672E-2</v>
      </c>
      <c r="P41">
        <f t="shared" si="1"/>
        <v>7.2971060606060623E-2</v>
      </c>
      <c r="Q41">
        <f t="shared" si="2"/>
        <v>1.2566049825174827E-3</v>
      </c>
      <c r="R41">
        <f t="shared" si="15"/>
        <v>-7.226263694638696E-2</v>
      </c>
      <c r="S41">
        <f t="shared" si="3"/>
        <v>0</v>
      </c>
      <c r="T41">
        <f t="shared" si="4"/>
        <v>0</v>
      </c>
      <c r="U41">
        <f t="shared" si="5"/>
        <v>0</v>
      </c>
      <c r="W41">
        <f t="shared" si="6"/>
        <v>0.23240075757575762</v>
      </c>
      <c r="X41">
        <f t="shared" si="7"/>
        <v>1.2312972902097903</v>
      </c>
      <c r="Y41">
        <f t="shared" si="8"/>
        <v>1.2325174825174827</v>
      </c>
      <c r="Z41">
        <f t="shared" si="9"/>
        <v>0.56639491961216415</v>
      </c>
      <c r="AA41" s="1">
        <f t="shared" si="10"/>
        <v>3.2645754785573859</v>
      </c>
      <c r="AB41">
        <f t="shared" si="11"/>
        <v>1.465663076427739</v>
      </c>
      <c r="AC41">
        <f t="shared" si="12"/>
        <v>1.798912402129647</v>
      </c>
      <c r="AH41">
        <f t="shared" si="13"/>
        <v>1.7738043688382041</v>
      </c>
      <c r="AK41">
        <f t="shared" si="14"/>
        <v>1.7738043688382041</v>
      </c>
    </row>
    <row r="42" spans="1:37" x14ac:dyDescent="0.25">
      <c r="B42" t="s">
        <v>33</v>
      </c>
      <c r="C42">
        <v>4.51937E-3</v>
      </c>
      <c r="D42">
        <v>-9.6055100000000003E-4</v>
      </c>
      <c r="E42">
        <v>-4.8916300000000001E-3</v>
      </c>
      <c r="J42">
        <v>1.9260699999999999E-2</v>
      </c>
      <c r="K42">
        <v>8.6240800000000006E-2</v>
      </c>
      <c r="L42">
        <v>7.0000000000000007E-2</v>
      </c>
      <c r="M42" s="3">
        <f>L42/1.15*Methane!S2</f>
        <v>3.2168017845774541E-2</v>
      </c>
      <c r="N42" s="1">
        <f t="shared" si="0"/>
        <v>0.20633670684577454</v>
      </c>
      <c r="O42">
        <f>0.281*A38</f>
        <v>7.1744680851063836E-2</v>
      </c>
      <c r="P42">
        <f t="shared" si="1"/>
        <v>6.2992405100830359E-2</v>
      </c>
      <c r="Q42">
        <f t="shared" si="2"/>
        <v>-1.3388462930011861E-2</v>
      </c>
      <c r="R42">
        <f t="shared" si="15"/>
        <v>-6.8181082443653618E-2</v>
      </c>
      <c r="S42">
        <f t="shared" si="3"/>
        <v>0</v>
      </c>
      <c r="T42">
        <f t="shared" si="4"/>
        <v>0</v>
      </c>
      <c r="U42">
        <f t="shared" si="5"/>
        <v>0</v>
      </c>
      <c r="W42">
        <f t="shared" si="6"/>
        <v>0.26846171411625142</v>
      </c>
      <c r="X42">
        <f t="shared" si="7"/>
        <v>1.2020514827995255</v>
      </c>
      <c r="Y42">
        <f t="shared" si="8"/>
        <v>0.97568208778173193</v>
      </c>
      <c r="Z42">
        <f t="shared" si="9"/>
        <v>0.44836798302236158</v>
      </c>
      <c r="AA42" s="1">
        <f t="shared" si="10"/>
        <v>2.8759861274470353</v>
      </c>
      <c r="AB42">
        <f t="shared" si="11"/>
        <v>1.4519360566429418</v>
      </c>
      <c r="AC42">
        <f t="shared" si="12"/>
        <v>1.4240500708040935</v>
      </c>
      <c r="AH42">
        <f t="shared" si="13"/>
        <v>2.5803228926019441</v>
      </c>
      <c r="AK42">
        <f t="shared" si="14"/>
        <v>2.5803228926019441</v>
      </c>
    </row>
    <row r="43" spans="1:37" x14ac:dyDescent="0.25">
      <c r="B43" t="s">
        <v>28</v>
      </c>
      <c r="C43" s="3">
        <f t="shared" ref="C43:E44" si="64">C35+C37+C39</f>
        <v>-1.883286E-2</v>
      </c>
      <c r="D43" s="3">
        <f t="shared" si="64"/>
        <v>1.93949E-2</v>
      </c>
      <c r="E43" s="3">
        <f t="shared" si="64"/>
        <v>-2.1348098000000002</v>
      </c>
      <c r="H43" s="3">
        <f>H35+H37+H39</f>
        <v>-0.62641309999999994</v>
      </c>
      <c r="J43" s="3">
        <f t="shared" ref="J43:M44" si="65">J35+J37+J39</f>
        <v>0.73111970000000004</v>
      </c>
      <c r="K43" s="3">
        <f t="shared" si="65"/>
        <v>3.7989903000000003</v>
      </c>
      <c r="L43" s="3">
        <f t="shared" si="65"/>
        <v>1.94</v>
      </c>
      <c r="M43" s="3">
        <f t="shared" si="65"/>
        <v>0.8915136374400372</v>
      </c>
      <c r="N43" s="1">
        <f t="shared" si="0"/>
        <v>4.6009627774400377</v>
      </c>
      <c r="O43" s="3">
        <f>O35+O37+O39</f>
        <v>2.843234042553191</v>
      </c>
      <c r="P43">
        <f t="shared" ref="P43:P44" si="66">C43/O43</f>
        <v>-6.6237459590517255E-3</v>
      </c>
      <c r="Q43">
        <f t="shared" ref="Q43:Q44" si="67">D43/O43</f>
        <v>6.8214222641283535E-3</v>
      </c>
      <c r="R43">
        <f t="shared" ref="R43:R44" si="68">E43/O43</f>
        <v>-0.75083857608955962</v>
      </c>
      <c r="S43">
        <f t="shared" ref="S43:S44" si="69">F43/O43</f>
        <v>0</v>
      </c>
      <c r="T43">
        <f t="shared" ref="T43:T44" si="70">G43/O43</f>
        <v>0</v>
      </c>
      <c r="U43">
        <f t="shared" ref="U43:U44" si="71">H43/O43</f>
        <v>-0.22031710742935826</v>
      </c>
      <c r="W43">
        <f t="shared" ref="W43:W44" si="72">J43/O43</f>
        <v>0.25714369237907092</v>
      </c>
      <c r="X43">
        <f t="shared" ref="X43:X44" si="73">K43/O43</f>
        <v>1.3361511022808912</v>
      </c>
      <c r="Y43">
        <f t="shared" ref="Y43:Y44" si="74">L43/O43</f>
        <v>0.68232159961685834</v>
      </c>
      <c r="Z43">
        <f t="shared" ref="Z43:Z44" si="75">M43/O43</f>
        <v>0.31355619132903612</v>
      </c>
      <c r="AA43" s="1">
        <f t="shared" ref="AA43:AA44" si="76">N43/O43</f>
        <v>1.6182145783920154</v>
      </c>
      <c r="AB43">
        <f t="shared" ref="AB43:AB44" si="77">SUM(P43:X43)</f>
        <v>0.62233678744612075</v>
      </c>
      <c r="AC43">
        <f t="shared" ref="AC43:AC44" si="78">SUM(Y43:Z43)</f>
        <v>0.99587779094589446</v>
      </c>
      <c r="AH43">
        <f t="shared" ref="AH43:AH44" si="79">D43/SUM(C43,E43:G43)</f>
        <v>-9.0056258450972541E-3</v>
      </c>
      <c r="AK43">
        <f t="shared" ref="AK43:AK44" si="80">D43/SUM(C43,E43:H43)</f>
        <v>-6.9764428034349932E-3</v>
      </c>
    </row>
    <row r="44" spans="1:37" x14ac:dyDescent="0.25">
      <c r="B44" t="s">
        <v>29</v>
      </c>
      <c r="C44" s="3">
        <f t="shared" si="64"/>
        <v>0.11676150776999999</v>
      </c>
      <c r="D44" s="3">
        <f t="shared" si="64"/>
        <v>0.13764863999999999</v>
      </c>
      <c r="E44" s="3">
        <f t="shared" si="64"/>
        <v>-2.1832881</v>
      </c>
      <c r="H44" s="3">
        <f>H36+H38+H40</f>
        <v>-0.44943640000000007</v>
      </c>
      <c r="J44" s="3">
        <f t="shared" si="65"/>
        <v>0.69301100000000004</v>
      </c>
      <c r="K44" s="3">
        <f t="shared" si="65"/>
        <v>3.2851379999999999</v>
      </c>
      <c r="L44" s="3">
        <f t="shared" si="65"/>
        <v>1.6500000000000001</v>
      </c>
      <c r="M44" s="3">
        <f t="shared" si="65"/>
        <v>0.75824613493611426</v>
      </c>
      <c r="N44" s="1">
        <f t="shared" si="0"/>
        <v>4.0080807827061147</v>
      </c>
      <c r="O44" s="3">
        <f>O36+O38+O40</f>
        <v>3.0234893617021275</v>
      </c>
      <c r="P44">
        <f t="shared" si="66"/>
        <v>3.8618130842129707E-2</v>
      </c>
      <c r="Q44">
        <f t="shared" si="67"/>
        <v>4.5526417834825195E-2</v>
      </c>
      <c r="R44">
        <f t="shared" si="68"/>
        <v>-0.72210874218881949</v>
      </c>
      <c r="S44">
        <f t="shared" si="69"/>
        <v>0</v>
      </c>
      <c r="T44">
        <f t="shared" si="70"/>
        <v>0</v>
      </c>
      <c r="U44">
        <f t="shared" si="71"/>
        <v>-0.14864824916962227</v>
      </c>
      <c r="W44">
        <f t="shared" si="72"/>
        <v>0.2292090088948939</v>
      </c>
      <c r="X44">
        <f t="shared" si="73"/>
        <v>1.0865386336767437</v>
      </c>
      <c r="Y44">
        <f t="shared" si="74"/>
        <v>0.54572707312953905</v>
      </c>
      <c r="Z44">
        <f t="shared" si="75"/>
        <v>0.25078511753361887</v>
      </c>
      <c r="AA44" s="1">
        <f t="shared" si="76"/>
        <v>1.3256473905533088</v>
      </c>
      <c r="AB44">
        <f t="shared" si="77"/>
        <v>0.52913519989015079</v>
      </c>
      <c r="AC44">
        <f t="shared" si="78"/>
        <v>0.79651219066315793</v>
      </c>
      <c r="AH44">
        <f t="shared" si="79"/>
        <v>-6.6608695246192118E-2</v>
      </c>
      <c r="AK44">
        <f t="shared" si="80"/>
        <v>-5.471012110476093E-2</v>
      </c>
    </row>
    <row r="45" spans="1:37" x14ac:dyDescent="0.25">
      <c r="A45" t="s">
        <v>37</v>
      </c>
      <c r="B45" t="s">
        <v>24</v>
      </c>
      <c r="F45">
        <v>1.27074</v>
      </c>
      <c r="H45">
        <v>-3.0435299999999998E-2</v>
      </c>
      <c r="I45" s="3">
        <v>1.3556700000000001E-8</v>
      </c>
      <c r="N45" s="1">
        <f t="shared" ref="N45:N74" si="81">SUM(C45:M45)</f>
        <v>1.2403047135567</v>
      </c>
      <c r="O45">
        <v>0.03</v>
      </c>
      <c r="P45">
        <f t="shared" ref="P45:P75" si="82">C45/O45</f>
        <v>0</v>
      </c>
      <c r="Q45">
        <f t="shared" ref="Q45:Q75" si="83">D45/O45</f>
        <v>0</v>
      </c>
      <c r="R45">
        <f t="shared" si="15"/>
        <v>0</v>
      </c>
      <c r="S45">
        <f t="shared" si="3"/>
        <v>42.358000000000004</v>
      </c>
      <c r="T45">
        <f t="shared" si="4"/>
        <v>0</v>
      </c>
      <c r="U45">
        <f t="shared" si="5"/>
        <v>-1.01451</v>
      </c>
      <c r="V45">
        <f>I45/O45</f>
        <v>4.5189000000000006E-7</v>
      </c>
      <c r="W45">
        <f t="shared" si="6"/>
        <v>0</v>
      </c>
      <c r="X45">
        <f t="shared" si="7"/>
        <v>0</v>
      </c>
      <c r="Y45">
        <f t="shared" si="8"/>
        <v>0</v>
      </c>
      <c r="Z45">
        <f t="shared" si="9"/>
        <v>0</v>
      </c>
      <c r="AA45" s="1">
        <f t="shared" si="10"/>
        <v>41.343490451890005</v>
      </c>
      <c r="AB45">
        <f t="shared" si="11"/>
        <v>41.343490451890005</v>
      </c>
      <c r="AC45">
        <f t="shared" si="12"/>
        <v>0</v>
      </c>
      <c r="AH45">
        <f t="shared" si="13"/>
        <v>0</v>
      </c>
      <c r="AK45">
        <f t="shared" si="14"/>
        <v>0</v>
      </c>
    </row>
    <row r="46" spans="1:37" x14ac:dyDescent="0.25">
      <c r="A46" t="s">
        <v>36</v>
      </c>
      <c r="B46" t="s">
        <v>25</v>
      </c>
      <c r="F46">
        <v>0.51826000000000005</v>
      </c>
      <c r="H46">
        <v>-1.7617799999999999E-2</v>
      </c>
      <c r="I46" s="3">
        <v>4.0055699999999997E-5</v>
      </c>
      <c r="N46" s="1">
        <f t="shared" si="81"/>
        <v>0.50068225570000002</v>
      </c>
      <c r="O46">
        <v>4.7E-2</v>
      </c>
      <c r="P46">
        <f t="shared" si="82"/>
        <v>0</v>
      </c>
      <c r="Q46">
        <f t="shared" si="83"/>
        <v>0</v>
      </c>
      <c r="R46">
        <f t="shared" si="15"/>
        <v>0</v>
      </c>
      <c r="S46">
        <f t="shared" si="3"/>
        <v>11.026808510638299</v>
      </c>
      <c r="T46">
        <f t="shared" si="4"/>
        <v>0</v>
      </c>
      <c r="U46">
        <f t="shared" si="5"/>
        <v>-0.37484680851063829</v>
      </c>
      <c r="V46">
        <f t="shared" ref="V46:V52" si="84">I46/O46</f>
        <v>8.5224893617021264E-4</v>
      </c>
      <c r="W46">
        <f t="shared" si="6"/>
        <v>0</v>
      </c>
      <c r="X46">
        <f t="shared" si="7"/>
        <v>0</v>
      </c>
      <c r="Y46">
        <f t="shared" si="8"/>
        <v>0</v>
      </c>
      <c r="Z46">
        <f t="shared" si="9"/>
        <v>0</v>
      </c>
      <c r="AA46" s="1">
        <f t="shared" si="10"/>
        <v>10.65281395106383</v>
      </c>
      <c r="AB46">
        <f t="shared" si="11"/>
        <v>10.65281395106383</v>
      </c>
      <c r="AC46">
        <f t="shared" si="12"/>
        <v>0</v>
      </c>
      <c r="AH46">
        <f t="shared" si="13"/>
        <v>0</v>
      </c>
      <c r="AK46">
        <f t="shared" si="14"/>
        <v>0</v>
      </c>
    </row>
    <row r="47" spans="1:37" x14ac:dyDescent="0.25">
      <c r="B47" t="s">
        <v>26</v>
      </c>
      <c r="F47">
        <v>4.2561999999999998</v>
      </c>
      <c r="H47">
        <v>-0.105265</v>
      </c>
      <c r="I47" s="3">
        <v>7.6255000000000004E-8</v>
      </c>
      <c r="N47" s="1">
        <f t="shared" si="81"/>
        <v>4.1509350762549992</v>
      </c>
      <c r="O47">
        <v>0.11</v>
      </c>
      <c r="P47">
        <f t="shared" si="82"/>
        <v>0</v>
      </c>
      <c r="Q47">
        <f t="shared" si="83"/>
        <v>0</v>
      </c>
      <c r="R47">
        <f t="shared" si="15"/>
        <v>0</v>
      </c>
      <c r="S47">
        <f t="shared" si="3"/>
        <v>38.692727272727268</v>
      </c>
      <c r="T47">
        <f t="shared" si="4"/>
        <v>0</v>
      </c>
      <c r="U47">
        <f t="shared" si="5"/>
        <v>-0.95695454545454539</v>
      </c>
      <c r="V47">
        <f t="shared" si="84"/>
        <v>6.9322727272727278E-7</v>
      </c>
      <c r="W47">
        <f t="shared" si="6"/>
        <v>0</v>
      </c>
      <c r="X47">
        <f t="shared" si="7"/>
        <v>0</v>
      </c>
      <c r="Y47">
        <f t="shared" si="8"/>
        <v>0</v>
      </c>
      <c r="Z47">
        <f t="shared" si="9"/>
        <v>0</v>
      </c>
      <c r="AA47" s="1">
        <f t="shared" si="10"/>
        <v>37.735773420499996</v>
      </c>
      <c r="AB47">
        <f t="shared" si="11"/>
        <v>37.735773420499996</v>
      </c>
      <c r="AC47">
        <f t="shared" si="12"/>
        <v>0</v>
      </c>
      <c r="AH47">
        <f t="shared" si="13"/>
        <v>0</v>
      </c>
      <c r="AK47">
        <f t="shared" si="14"/>
        <v>0</v>
      </c>
    </row>
    <row r="48" spans="1:37" x14ac:dyDescent="0.25">
      <c r="B48" t="s">
        <v>27</v>
      </c>
      <c r="F48">
        <v>1.98563</v>
      </c>
      <c r="H48">
        <v>-0.16141800000000001</v>
      </c>
      <c r="I48">
        <v>4.3260199999999999E-3</v>
      </c>
      <c r="N48" s="1">
        <f t="shared" si="81"/>
        <v>1.8285380199999999</v>
      </c>
      <c r="O48">
        <v>0.17699999999999999</v>
      </c>
      <c r="P48">
        <f t="shared" si="82"/>
        <v>0</v>
      </c>
      <c r="Q48">
        <f t="shared" si="83"/>
        <v>0</v>
      </c>
      <c r="R48">
        <f t="shared" si="15"/>
        <v>0</v>
      </c>
      <c r="S48">
        <f t="shared" si="3"/>
        <v>11.218248587570622</v>
      </c>
      <c r="T48">
        <f t="shared" si="4"/>
        <v>0</v>
      </c>
      <c r="U48">
        <f t="shared" si="5"/>
        <v>-0.91196610169491532</v>
      </c>
      <c r="V48">
        <f t="shared" si="84"/>
        <v>2.4440790960451979E-2</v>
      </c>
      <c r="W48">
        <f t="shared" si="6"/>
        <v>0</v>
      </c>
      <c r="X48">
        <f t="shared" si="7"/>
        <v>0</v>
      </c>
      <c r="Y48">
        <f t="shared" si="8"/>
        <v>0</v>
      </c>
      <c r="Z48">
        <f t="shared" si="9"/>
        <v>0</v>
      </c>
      <c r="AA48" s="1">
        <f t="shared" si="10"/>
        <v>10.330723276836158</v>
      </c>
      <c r="AB48">
        <f t="shared" si="11"/>
        <v>10.330723276836158</v>
      </c>
      <c r="AC48">
        <f t="shared" si="12"/>
        <v>0</v>
      </c>
      <c r="AH48">
        <f t="shared" si="13"/>
        <v>0</v>
      </c>
      <c r="AK48">
        <f t="shared" si="14"/>
        <v>0</v>
      </c>
    </row>
    <row r="49" spans="1:37" x14ac:dyDescent="0.25">
      <c r="B49" t="s">
        <v>134</v>
      </c>
      <c r="F49">
        <v>33.844799999999999</v>
      </c>
      <c r="H49">
        <v>-1.7049099999999999</v>
      </c>
      <c r="I49">
        <v>4.1560099999999998E-4</v>
      </c>
      <c r="N49" s="1">
        <f t="shared" si="81"/>
        <v>32.140305601000001</v>
      </c>
      <c r="O49">
        <v>0.35099999999999998</v>
      </c>
      <c r="P49">
        <f t="shared" si="82"/>
        <v>0</v>
      </c>
      <c r="Q49">
        <f t="shared" si="83"/>
        <v>0</v>
      </c>
      <c r="R49">
        <f t="shared" si="15"/>
        <v>0</v>
      </c>
      <c r="S49">
        <f t="shared" si="3"/>
        <v>96.423931623931622</v>
      </c>
      <c r="T49">
        <f t="shared" si="4"/>
        <v>0</v>
      </c>
      <c r="U49">
        <f t="shared" si="5"/>
        <v>-4.857293447293447</v>
      </c>
      <c r="V49">
        <f t="shared" si="84"/>
        <v>1.1840484330484331E-3</v>
      </c>
      <c r="W49">
        <f t="shared" si="6"/>
        <v>0</v>
      </c>
      <c r="X49">
        <f t="shared" si="7"/>
        <v>0</v>
      </c>
      <c r="Y49">
        <f t="shared" si="8"/>
        <v>0</v>
      </c>
      <c r="Z49">
        <f t="shared" si="9"/>
        <v>0</v>
      </c>
      <c r="AA49" s="1">
        <f t="shared" si="10"/>
        <v>91.567822225071239</v>
      </c>
      <c r="AB49">
        <f t="shared" si="11"/>
        <v>91.567822225071225</v>
      </c>
      <c r="AC49">
        <f t="shared" si="12"/>
        <v>0</v>
      </c>
      <c r="AH49">
        <f t="shared" si="13"/>
        <v>0</v>
      </c>
      <c r="AK49">
        <f t="shared" si="14"/>
        <v>0</v>
      </c>
    </row>
    <row r="50" spans="1:37" x14ac:dyDescent="0.25">
      <c r="B50" t="s">
        <v>135</v>
      </c>
      <c r="F50">
        <v>27.498899999999999</v>
      </c>
      <c r="H50">
        <v>-1.82785</v>
      </c>
      <c r="I50">
        <v>1.2147399999999999E-2</v>
      </c>
      <c r="N50" s="1">
        <f t="shared" si="81"/>
        <v>25.683197399999997</v>
      </c>
      <c r="O50">
        <v>0.35899999999999999</v>
      </c>
      <c r="P50">
        <f t="shared" si="82"/>
        <v>0</v>
      </c>
      <c r="Q50">
        <f t="shared" si="83"/>
        <v>0</v>
      </c>
      <c r="R50">
        <f t="shared" si="15"/>
        <v>0</v>
      </c>
      <c r="S50">
        <f t="shared" si="3"/>
        <v>76.598607242339838</v>
      </c>
      <c r="T50">
        <f t="shared" si="4"/>
        <v>0</v>
      </c>
      <c r="U50">
        <f t="shared" si="5"/>
        <v>-5.0915041782729809</v>
      </c>
      <c r="V50">
        <f t="shared" si="84"/>
        <v>3.3836768802228412E-2</v>
      </c>
      <c r="W50">
        <f t="shared" si="6"/>
        <v>0</v>
      </c>
      <c r="X50">
        <f t="shared" si="7"/>
        <v>0</v>
      </c>
      <c r="Y50">
        <f t="shared" si="8"/>
        <v>0</v>
      </c>
      <c r="Z50">
        <f t="shared" si="9"/>
        <v>0</v>
      </c>
      <c r="AA50" s="1">
        <f t="shared" si="10"/>
        <v>71.540939832869071</v>
      </c>
      <c r="AB50">
        <f t="shared" si="11"/>
        <v>71.540939832869086</v>
      </c>
      <c r="AC50">
        <f t="shared" si="12"/>
        <v>0</v>
      </c>
      <c r="AH50">
        <f t="shared" si="13"/>
        <v>0</v>
      </c>
      <c r="AK50">
        <f t="shared" si="14"/>
        <v>0</v>
      </c>
    </row>
    <row r="51" spans="1:37" x14ac:dyDescent="0.25">
      <c r="B51" t="s">
        <v>32</v>
      </c>
      <c r="F51">
        <v>0.56688300000000003</v>
      </c>
      <c r="H51">
        <v>-6.39213E-2</v>
      </c>
      <c r="I51" s="3">
        <v>7.8029399999999999E-8</v>
      </c>
      <c r="N51" s="1">
        <f t="shared" si="81"/>
        <v>0.50296177802940012</v>
      </c>
      <c r="O51">
        <v>1.2E-2</v>
      </c>
      <c r="P51">
        <f t="shared" si="82"/>
        <v>0</v>
      </c>
      <c r="Q51">
        <f t="shared" si="83"/>
        <v>0</v>
      </c>
      <c r="R51">
        <f t="shared" si="15"/>
        <v>0</v>
      </c>
      <c r="S51">
        <f t="shared" si="3"/>
        <v>47.240250000000003</v>
      </c>
      <c r="T51">
        <f t="shared" si="4"/>
        <v>0</v>
      </c>
      <c r="U51">
        <f t="shared" si="5"/>
        <v>-5.3267749999999996</v>
      </c>
      <c r="V51">
        <f t="shared" si="84"/>
        <v>6.5024499999999999E-6</v>
      </c>
      <c r="W51">
        <f t="shared" si="6"/>
        <v>0</v>
      </c>
      <c r="X51">
        <f t="shared" si="7"/>
        <v>0</v>
      </c>
      <c r="Y51">
        <f t="shared" si="8"/>
        <v>0</v>
      </c>
      <c r="Z51">
        <f t="shared" si="9"/>
        <v>0</v>
      </c>
      <c r="AA51" s="1">
        <f t="shared" si="10"/>
        <v>41.913481502450011</v>
      </c>
      <c r="AB51">
        <f t="shared" si="11"/>
        <v>41.913481502450004</v>
      </c>
      <c r="AC51">
        <f t="shared" si="12"/>
        <v>0</v>
      </c>
      <c r="AH51">
        <f t="shared" si="13"/>
        <v>0</v>
      </c>
      <c r="AK51">
        <f t="shared" si="14"/>
        <v>0</v>
      </c>
    </row>
    <row r="52" spans="1:37" x14ac:dyDescent="0.25">
      <c r="B52" t="s">
        <v>33</v>
      </c>
      <c r="F52">
        <v>0.41388200000000003</v>
      </c>
      <c r="H52">
        <v>-6.0949099999999999E-2</v>
      </c>
      <c r="I52" s="3">
        <v>4.3032299999999998E-5</v>
      </c>
      <c r="N52" s="1">
        <f t="shared" si="81"/>
        <v>0.35297593230000007</v>
      </c>
      <c r="O52">
        <v>1.2E-2</v>
      </c>
      <c r="P52">
        <f t="shared" si="82"/>
        <v>0</v>
      </c>
      <c r="Q52">
        <f t="shared" si="83"/>
        <v>0</v>
      </c>
      <c r="R52">
        <f t="shared" si="15"/>
        <v>0</v>
      </c>
      <c r="S52">
        <f t="shared" si="3"/>
        <v>34.490166666666667</v>
      </c>
      <c r="T52">
        <f t="shared" si="4"/>
        <v>0</v>
      </c>
      <c r="U52">
        <f t="shared" si="5"/>
        <v>-5.0790916666666668</v>
      </c>
      <c r="V52">
        <f t="shared" si="84"/>
        <v>3.5860249999999996E-3</v>
      </c>
      <c r="W52">
        <f t="shared" si="6"/>
        <v>0</v>
      </c>
      <c r="X52">
        <f t="shared" si="7"/>
        <v>0</v>
      </c>
      <c r="Y52">
        <f t="shared" si="8"/>
        <v>0</v>
      </c>
      <c r="Z52">
        <f t="shared" si="9"/>
        <v>0</v>
      </c>
      <c r="AA52" s="1">
        <f t="shared" si="10"/>
        <v>29.414661025000004</v>
      </c>
      <c r="AB52">
        <f t="shared" si="11"/>
        <v>29.414661025000001</v>
      </c>
      <c r="AC52">
        <f t="shared" si="12"/>
        <v>0</v>
      </c>
      <c r="AH52">
        <f t="shared" si="13"/>
        <v>0</v>
      </c>
      <c r="AK52">
        <f t="shared" si="14"/>
        <v>0</v>
      </c>
    </row>
    <row r="53" spans="1:37" x14ac:dyDescent="0.25">
      <c r="B53" t="s">
        <v>28</v>
      </c>
      <c r="F53">
        <f>F45+F47+F49+F51</f>
        <v>39.938623</v>
      </c>
      <c r="H53">
        <f>H45+H47+H49+H51</f>
        <v>-1.9045315999999999</v>
      </c>
      <c r="I53">
        <f>I45+I47+I49+I51</f>
        <v>4.1576884109999999E-4</v>
      </c>
      <c r="N53" s="1">
        <f t="shared" si="81"/>
        <v>38.034507168841102</v>
      </c>
      <c r="O53">
        <f>O45+O47+O49+O51</f>
        <v>0.503</v>
      </c>
      <c r="P53">
        <f t="shared" ref="P53:P54" si="85">C53/O53</f>
        <v>0</v>
      </c>
      <c r="Q53">
        <f t="shared" ref="Q53:Q54" si="86">D53/O53</f>
        <v>0</v>
      </c>
      <c r="R53">
        <f t="shared" ref="R53:R54" si="87">E53/O53</f>
        <v>0</v>
      </c>
      <c r="S53">
        <f t="shared" ref="S53:S54" si="88">F53/O53</f>
        <v>79.400840954274358</v>
      </c>
      <c r="T53">
        <f t="shared" ref="T53:T54" si="89">G53/O53</f>
        <v>0</v>
      </c>
      <c r="U53">
        <f t="shared" ref="U53:U54" si="90">H53/O53</f>
        <v>-3.7863451292246517</v>
      </c>
      <c r="V53">
        <f t="shared" ref="V53:V54" si="91">I53/O53</f>
        <v>8.2657821292246515E-4</v>
      </c>
      <c r="W53">
        <f t="shared" ref="W53:W54" si="92">J53/O53</f>
        <v>0</v>
      </c>
      <c r="X53">
        <f t="shared" ref="X53:X54" si="93">K53/O53</f>
        <v>0</v>
      </c>
      <c r="Y53">
        <f t="shared" ref="Y53:Y54" si="94">L53/O53</f>
        <v>0</v>
      </c>
      <c r="Z53">
        <f t="shared" ref="Z53:Z54" si="95">M53/O53</f>
        <v>0</v>
      </c>
      <c r="AA53" s="1">
        <f t="shared" ref="AA53:AA54" si="96">N53/O53</f>
        <v>75.615322403262624</v>
      </c>
      <c r="AB53">
        <f t="shared" ref="AB53:AB54" si="97">SUM(P53:X53)</f>
        <v>75.615322403262624</v>
      </c>
      <c r="AC53">
        <f t="shared" ref="AC53:AC54" si="98">SUM(Y53:Z53)</f>
        <v>0</v>
      </c>
      <c r="AH53">
        <f t="shared" ref="AH53:AH54" si="99">D53/SUM(C53,E53:G53)</f>
        <v>0</v>
      </c>
      <c r="AK53">
        <f t="shared" ref="AK53:AK54" si="100">D53/SUM(C53,E53:H53)</f>
        <v>0</v>
      </c>
    </row>
    <row r="54" spans="1:37" x14ac:dyDescent="0.25">
      <c r="B54" t="s">
        <v>29</v>
      </c>
      <c r="F54">
        <f>F46+F48+F50+F52</f>
        <v>30.416671999999998</v>
      </c>
      <c r="H54">
        <f>H46+H48+H50+H52</f>
        <v>-2.0678349000000003</v>
      </c>
      <c r="I54">
        <f>I46+I48+I50+I52</f>
        <v>1.6556507999999998E-2</v>
      </c>
      <c r="N54" s="1">
        <f t="shared" si="81"/>
        <v>28.365393607999998</v>
      </c>
      <c r="O54">
        <f>O46+O48+O50+O52</f>
        <v>0.59499999999999997</v>
      </c>
      <c r="P54">
        <f t="shared" si="85"/>
        <v>0</v>
      </c>
      <c r="Q54">
        <f t="shared" si="86"/>
        <v>0</v>
      </c>
      <c r="R54">
        <f t="shared" si="87"/>
        <v>0</v>
      </c>
      <c r="S54">
        <f t="shared" si="88"/>
        <v>51.120457142857141</v>
      </c>
      <c r="T54">
        <f t="shared" si="89"/>
        <v>0</v>
      </c>
      <c r="U54">
        <f t="shared" si="90"/>
        <v>-3.4753527731092442</v>
      </c>
      <c r="V54">
        <f t="shared" si="91"/>
        <v>2.7826063865546216E-2</v>
      </c>
      <c r="W54">
        <f t="shared" si="92"/>
        <v>0</v>
      </c>
      <c r="X54">
        <f t="shared" si="93"/>
        <v>0</v>
      </c>
      <c r="Y54">
        <f t="shared" si="94"/>
        <v>0</v>
      </c>
      <c r="Z54">
        <f t="shared" si="95"/>
        <v>0</v>
      </c>
      <c r="AA54" s="1">
        <f t="shared" si="96"/>
        <v>47.672930433613445</v>
      </c>
      <c r="AB54">
        <f t="shared" si="97"/>
        <v>47.672930433613445</v>
      </c>
      <c r="AC54">
        <f t="shared" si="98"/>
        <v>0</v>
      </c>
      <c r="AH54">
        <f t="shared" si="99"/>
        <v>0</v>
      </c>
      <c r="AK54">
        <f t="shared" si="100"/>
        <v>0</v>
      </c>
    </row>
    <row r="55" spans="1:37" x14ac:dyDescent="0.25">
      <c r="A55" t="s">
        <v>38</v>
      </c>
      <c r="B55" t="s">
        <v>24</v>
      </c>
      <c r="G55">
        <v>-0.13428899999999999</v>
      </c>
      <c r="H55">
        <v>-4.6060299999999998E-2</v>
      </c>
      <c r="N55" s="1">
        <f t="shared" si="81"/>
        <v>-0.18034929999999999</v>
      </c>
      <c r="O55">
        <v>3.6999999999999998E-2</v>
      </c>
      <c r="P55">
        <f t="shared" si="82"/>
        <v>0</v>
      </c>
      <c r="Q55">
        <f t="shared" si="83"/>
        <v>0</v>
      </c>
      <c r="R55">
        <f t="shared" si="15"/>
        <v>0</v>
      </c>
      <c r="S55">
        <f t="shared" si="3"/>
        <v>0</v>
      </c>
      <c r="T55">
        <f t="shared" si="4"/>
        <v>-3.6294324324324325</v>
      </c>
      <c r="U55">
        <f t="shared" si="5"/>
        <v>-1.2448729729729731</v>
      </c>
      <c r="W55">
        <f t="shared" si="6"/>
        <v>0</v>
      </c>
      <c r="X55">
        <f t="shared" si="7"/>
        <v>0</v>
      </c>
      <c r="Y55">
        <f t="shared" si="8"/>
        <v>0</v>
      </c>
      <c r="Z55">
        <f t="shared" si="9"/>
        <v>0</v>
      </c>
      <c r="AA55" s="1">
        <f t="shared" si="10"/>
        <v>-4.8743054054054058</v>
      </c>
      <c r="AB55">
        <f t="shared" si="11"/>
        <v>-4.8743054054054058</v>
      </c>
      <c r="AC55">
        <f t="shared" si="12"/>
        <v>0</v>
      </c>
      <c r="AH55">
        <f t="shared" si="13"/>
        <v>0</v>
      </c>
      <c r="AK55">
        <f t="shared" si="14"/>
        <v>0</v>
      </c>
    </row>
    <row r="56" spans="1:37" x14ac:dyDescent="0.25">
      <c r="A56" t="s">
        <v>36</v>
      </c>
      <c r="B56" t="s">
        <v>25</v>
      </c>
      <c r="G56">
        <v>-6.95022E-2</v>
      </c>
      <c r="H56">
        <v>-2.2537100000000001E-2</v>
      </c>
      <c r="N56" s="1">
        <f t="shared" si="81"/>
        <v>-9.2039300000000004E-2</v>
      </c>
      <c r="O56">
        <v>6.7000000000000004E-2</v>
      </c>
      <c r="P56">
        <f t="shared" si="82"/>
        <v>0</v>
      </c>
      <c r="Q56">
        <f t="shared" si="83"/>
        <v>0</v>
      </c>
      <c r="R56">
        <f t="shared" si="15"/>
        <v>0</v>
      </c>
      <c r="S56">
        <f t="shared" si="3"/>
        <v>0</v>
      </c>
      <c r="T56">
        <f t="shared" si="4"/>
        <v>-1.0373462686567163</v>
      </c>
      <c r="U56">
        <f t="shared" si="5"/>
        <v>-0.33637462686567166</v>
      </c>
      <c r="W56">
        <f t="shared" si="6"/>
        <v>0</v>
      </c>
      <c r="X56">
        <f t="shared" si="7"/>
        <v>0</v>
      </c>
      <c r="Y56">
        <f t="shared" si="8"/>
        <v>0</v>
      </c>
      <c r="Z56">
        <f t="shared" si="9"/>
        <v>0</v>
      </c>
      <c r="AA56" s="1">
        <f t="shared" si="10"/>
        <v>-1.3737208955223881</v>
      </c>
      <c r="AB56">
        <f t="shared" si="11"/>
        <v>-1.3737208955223879</v>
      </c>
      <c r="AC56">
        <f t="shared" si="12"/>
        <v>0</v>
      </c>
      <c r="AH56">
        <f t="shared" si="13"/>
        <v>0</v>
      </c>
      <c r="AK56">
        <f t="shared" si="14"/>
        <v>0</v>
      </c>
    </row>
    <row r="57" spans="1:37" x14ac:dyDescent="0.25">
      <c r="B57" t="s">
        <v>26</v>
      </c>
      <c r="G57">
        <v>-0.34381499999999998</v>
      </c>
      <c r="H57">
        <v>-0.14319399999999999</v>
      </c>
      <c r="N57" s="1">
        <f t="shared" si="81"/>
        <v>-0.48700899999999997</v>
      </c>
      <c r="O57">
        <v>0.21199999999999999</v>
      </c>
      <c r="P57">
        <f t="shared" si="82"/>
        <v>0</v>
      </c>
      <c r="Q57">
        <f t="shared" si="83"/>
        <v>0</v>
      </c>
      <c r="R57">
        <f t="shared" si="15"/>
        <v>0</v>
      </c>
      <c r="S57">
        <f t="shared" si="3"/>
        <v>0</v>
      </c>
      <c r="T57">
        <f t="shared" si="4"/>
        <v>-1.6217688679245283</v>
      </c>
      <c r="U57">
        <f t="shared" si="5"/>
        <v>-0.67544339622641503</v>
      </c>
      <c r="W57">
        <f t="shared" si="6"/>
        <v>0</v>
      </c>
      <c r="X57">
        <f t="shared" si="7"/>
        <v>0</v>
      </c>
      <c r="Y57">
        <f t="shared" si="8"/>
        <v>0</v>
      </c>
      <c r="Z57">
        <f t="shared" si="9"/>
        <v>0</v>
      </c>
      <c r="AA57" s="1">
        <f t="shared" si="10"/>
        <v>-2.2972122641509434</v>
      </c>
      <c r="AB57">
        <f t="shared" si="11"/>
        <v>-2.2972122641509434</v>
      </c>
      <c r="AC57">
        <f t="shared" si="12"/>
        <v>0</v>
      </c>
      <c r="AH57">
        <f t="shared" si="13"/>
        <v>0</v>
      </c>
      <c r="AK57">
        <f t="shared" si="14"/>
        <v>0</v>
      </c>
    </row>
    <row r="58" spans="1:37" x14ac:dyDescent="0.25">
      <c r="B58" t="s">
        <v>27</v>
      </c>
      <c r="G58">
        <v>-0.67823500000000003</v>
      </c>
      <c r="H58">
        <v>-0.31018699999999999</v>
      </c>
      <c r="N58" s="1">
        <f t="shared" si="81"/>
        <v>-0.98842200000000002</v>
      </c>
      <c r="O58">
        <v>0.36599999999999999</v>
      </c>
      <c r="P58">
        <f t="shared" si="82"/>
        <v>0</v>
      </c>
      <c r="Q58">
        <f t="shared" si="83"/>
        <v>0</v>
      </c>
      <c r="R58">
        <f t="shared" si="15"/>
        <v>0</v>
      </c>
      <c r="S58">
        <f t="shared" si="3"/>
        <v>0</v>
      </c>
      <c r="T58">
        <f t="shared" si="4"/>
        <v>-1.8531010928961751</v>
      </c>
      <c r="U58">
        <f t="shared" si="5"/>
        <v>-0.84750546448087427</v>
      </c>
      <c r="W58">
        <f t="shared" si="6"/>
        <v>0</v>
      </c>
      <c r="X58">
        <f t="shared" si="7"/>
        <v>0</v>
      </c>
      <c r="Y58">
        <f t="shared" si="8"/>
        <v>0</v>
      </c>
      <c r="Z58">
        <f t="shared" si="9"/>
        <v>0</v>
      </c>
      <c r="AA58" s="1">
        <f t="shared" si="10"/>
        <v>-2.7006065573770495</v>
      </c>
      <c r="AB58">
        <f t="shared" si="11"/>
        <v>-2.7006065573770495</v>
      </c>
      <c r="AC58">
        <f t="shared" si="12"/>
        <v>0</v>
      </c>
      <c r="AH58">
        <f t="shared" si="13"/>
        <v>0</v>
      </c>
      <c r="AK58">
        <f t="shared" si="14"/>
        <v>0</v>
      </c>
    </row>
    <row r="59" spans="1:37" x14ac:dyDescent="0.25">
      <c r="B59" t="s">
        <v>134</v>
      </c>
      <c r="G59">
        <v>-7.13924</v>
      </c>
      <c r="H59">
        <v>-5.5546199999999999</v>
      </c>
      <c r="N59" s="1">
        <f t="shared" si="81"/>
        <v>-12.693860000000001</v>
      </c>
      <c r="O59">
        <v>0.80400000000000005</v>
      </c>
      <c r="P59">
        <f t="shared" si="82"/>
        <v>0</v>
      </c>
      <c r="Q59">
        <f t="shared" si="83"/>
        <v>0</v>
      </c>
      <c r="R59">
        <f t="shared" si="15"/>
        <v>0</v>
      </c>
      <c r="S59">
        <f t="shared" si="3"/>
        <v>0</v>
      </c>
      <c r="T59">
        <f t="shared" si="4"/>
        <v>-8.8796517412935323</v>
      </c>
      <c r="U59">
        <f t="shared" si="5"/>
        <v>-6.9087313432835815</v>
      </c>
      <c r="W59">
        <f t="shared" si="6"/>
        <v>0</v>
      </c>
      <c r="X59">
        <f t="shared" si="7"/>
        <v>0</v>
      </c>
      <c r="Y59">
        <f t="shared" si="8"/>
        <v>0</v>
      </c>
      <c r="Z59">
        <f t="shared" si="9"/>
        <v>0</v>
      </c>
      <c r="AA59" s="1">
        <f t="shared" si="10"/>
        <v>-15.788383084577115</v>
      </c>
      <c r="AB59">
        <f t="shared" si="11"/>
        <v>-15.788383084577113</v>
      </c>
      <c r="AC59">
        <f t="shared" si="12"/>
        <v>0</v>
      </c>
      <c r="AH59">
        <f t="shared" si="13"/>
        <v>0</v>
      </c>
      <c r="AK59">
        <f t="shared" si="14"/>
        <v>0</v>
      </c>
    </row>
    <row r="60" spans="1:37" x14ac:dyDescent="0.25">
      <c r="B60" t="s">
        <v>135</v>
      </c>
      <c r="G60">
        <v>-9.5439100000000003</v>
      </c>
      <c r="H60">
        <v>-6.0180100000000003</v>
      </c>
      <c r="N60" s="1">
        <f t="shared" si="81"/>
        <v>-15.561920000000001</v>
      </c>
      <c r="O60">
        <v>0.82499999999999996</v>
      </c>
      <c r="P60">
        <f t="shared" si="82"/>
        <v>0</v>
      </c>
      <c r="Q60">
        <f t="shared" si="83"/>
        <v>0</v>
      </c>
      <c r="R60">
        <f t="shared" si="15"/>
        <v>0</v>
      </c>
      <c r="S60">
        <f t="shared" si="3"/>
        <v>0</v>
      </c>
      <c r="T60">
        <f t="shared" si="4"/>
        <v>-11.568375757575758</v>
      </c>
      <c r="U60">
        <f t="shared" si="5"/>
        <v>-7.2945575757575769</v>
      </c>
      <c r="W60">
        <f t="shared" si="6"/>
        <v>0</v>
      </c>
      <c r="X60">
        <f t="shared" si="7"/>
        <v>0</v>
      </c>
      <c r="Y60">
        <f t="shared" si="8"/>
        <v>0</v>
      </c>
      <c r="Z60">
        <f t="shared" si="9"/>
        <v>0</v>
      </c>
      <c r="AA60" s="1">
        <f t="shared" si="10"/>
        <v>-18.862933333333334</v>
      </c>
      <c r="AB60">
        <f t="shared" si="11"/>
        <v>-18.862933333333334</v>
      </c>
      <c r="AC60">
        <f t="shared" si="12"/>
        <v>0</v>
      </c>
      <c r="AH60">
        <f t="shared" si="13"/>
        <v>0</v>
      </c>
      <c r="AK60">
        <f t="shared" si="14"/>
        <v>0</v>
      </c>
    </row>
    <row r="61" spans="1:37" x14ac:dyDescent="0.25">
      <c r="B61" t="s">
        <v>32</v>
      </c>
      <c r="G61">
        <v>-5.9652900000000002E-2</v>
      </c>
      <c r="N61" s="1">
        <f t="shared" si="81"/>
        <v>-5.9652900000000002E-2</v>
      </c>
      <c r="O61">
        <v>1.2999999999999999E-2</v>
      </c>
      <c r="P61">
        <f t="shared" si="82"/>
        <v>0</v>
      </c>
      <c r="Q61">
        <f t="shared" si="83"/>
        <v>0</v>
      </c>
      <c r="R61">
        <f t="shared" si="15"/>
        <v>0</v>
      </c>
      <c r="S61">
        <f t="shared" si="3"/>
        <v>0</v>
      </c>
      <c r="T61">
        <f t="shared" si="4"/>
        <v>-4.5886846153846159</v>
      </c>
      <c r="U61">
        <f t="shared" si="5"/>
        <v>0</v>
      </c>
      <c r="W61">
        <f t="shared" si="6"/>
        <v>0</v>
      </c>
      <c r="X61">
        <f t="shared" si="7"/>
        <v>0</v>
      </c>
      <c r="Y61">
        <f t="shared" si="8"/>
        <v>0</v>
      </c>
      <c r="Z61">
        <f t="shared" si="9"/>
        <v>0</v>
      </c>
      <c r="AA61" s="1">
        <f t="shared" si="10"/>
        <v>-4.5886846153846159</v>
      </c>
      <c r="AB61">
        <f t="shared" si="11"/>
        <v>-4.5886846153846159</v>
      </c>
      <c r="AC61">
        <f t="shared" si="12"/>
        <v>0</v>
      </c>
      <c r="AH61">
        <f t="shared" si="13"/>
        <v>0</v>
      </c>
      <c r="AK61">
        <f t="shared" si="14"/>
        <v>0</v>
      </c>
    </row>
    <row r="62" spans="1:37" x14ac:dyDescent="0.25">
      <c r="B62" t="s">
        <v>33</v>
      </c>
      <c r="G62">
        <v>-6.0492299999999999E-2</v>
      </c>
      <c r="N62" s="1">
        <f t="shared" si="81"/>
        <v>-6.0492299999999999E-2</v>
      </c>
      <c r="O62">
        <v>1.2999999999999999E-2</v>
      </c>
      <c r="P62">
        <f t="shared" si="82"/>
        <v>0</v>
      </c>
      <c r="Q62">
        <f t="shared" si="83"/>
        <v>0</v>
      </c>
      <c r="R62">
        <f t="shared" si="15"/>
        <v>0</v>
      </c>
      <c r="S62">
        <f t="shared" si="3"/>
        <v>0</v>
      </c>
      <c r="T62">
        <f t="shared" si="4"/>
        <v>-4.653253846153846</v>
      </c>
      <c r="U62">
        <f t="shared" si="5"/>
        <v>0</v>
      </c>
      <c r="W62">
        <f t="shared" si="6"/>
        <v>0</v>
      </c>
      <c r="X62">
        <f t="shared" si="7"/>
        <v>0</v>
      </c>
      <c r="Y62">
        <f t="shared" si="8"/>
        <v>0</v>
      </c>
      <c r="Z62">
        <f t="shared" si="9"/>
        <v>0</v>
      </c>
      <c r="AA62" s="1">
        <f t="shared" si="10"/>
        <v>-4.653253846153846</v>
      </c>
      <c r="AB62">
        <f t="shared" si="11"/>
        <v>-4.653253846153846</v>
      </c>
      <c r="AC62">
        <f t="shared" si="12"/>
        <v>0</v>
      </c>
      <c r="AH62">
        <f t="shared" si="13"/>
        <v>0</v>
      </c>
      <c r="AK62">
        <f t="shared" si="14"/>
        <v>0</v>
      </c>
    </row>
    <row r="63" spans="1:37" x14ac:dyDescent="0.25">
      <c r="B63" t="s">
        <v>28</v>
      </c>
      <c r="G63">
        <f>G55+G57+G59</f>
        <v>-7.6173440000000001</v>
      </c>
      <c r="H63">
        <f>H55+H57+H59</f>
        <v>-5.7438742999999999</v>
      </c>
      <c r="N63" s="1">
        <f t="shared" si="81"/>
        <v>-13.361218300000001</v>
      </c>
      <c r="O63">
        <f>O55+O57+O59</f>
        <v>1.0529999999999999</v>
      </c>
      <c r="P63">
        <f t="shared" ref="P63:P64" si="101">C63/O63</f>
        <v>0</v>
      </c>
      <c r="Q63">
        <f t="shared" ref="Q63:Q64" si="102">D63/O63</f>
        <v>0</v>
      </c>
      <c r="R63">
        <f t="shared" ref="R63:R64" si="103">E63/O63</f>
        <v>0</v>
      </c>
      <c r="S63">
        <f t="shared" ref="S63:S64" si="104">F63/O63</f>
        <v>0</v>
      </c>
      <c r="T63">
        <f t="shared" ref="T63:T64" si="105">G63/O63</f>
        <v>-7.2339449192782528</v>
      </c>
      <c r="U63">
        <f t="shared" ref="U63:U64" si="106">H63/O63</f>
        <v>-5.4547714150047488</v>
      </c>
      <c r="W63">
        <f t="shared" ref="W63:W64" si="107">J63/O63</f>
        <v>0</v>
      </c>
      <c r="X63">
        <f t="shared" ref="X63:X64" si="108">K63/O63</f>
        <v>0</v>
      </c>
      <c r="Y63">
        <f t="shared" ref="Y63:Y64" si="109">L63/O63</f>
        <v>0</v>
      </c>
      <c r="Z63">
        <f t="shared" ref="Z63:Z64" si="110">M63/O63</f>
        <v>0</v>
      </c>
      <c r="AA63" s="1">
        <f t="shared" ref="AA63:AA64" si="111">N63/O63</f>
        <v>-12.688716334283002</v>
      </c>
      <c r="AB63">
        <f t="shared" ref="AB63:AB64" si="112">SUM(P63:X63)</f>
        <v>-12.688716334283001</v>
      </c>
      <c r="AC63">
        <f t="shared" ref="AC63:AC64" si="113">SUM(Y63:Z63)</f>
        <v>0</v>
      </c>
      <c r="AH63">
        <f t="shared" ref="AH63:AH64" si="114">D63/SUM(C63,E63:G63)</f>
        <v>0</v>
      </c>
      <c r="AK63">
        <f t="shared" ref="AK63:AK64" si="115">D63/SUM(C63,E63:H63)</f>
        <v>0</v>
      </c>
    </row>
    <row r="64" spans="1:37" x14ac:dyDescent="0.25">
      <c r="B64" t="s">
        <v>29</v>
      </c>
      <c r="G64">
        <f>G56+G58+G60</f>
        <v>-10.2916472</v>
      </c>
      <c r="H64">
        <f>H56+H58+H60</f>
        <v>-6.3507341000000004</v>
      </c>
      <c r="N64" s="1">
        <f t="shared" si="81"/>
        <v>-16.6423813</v>
      </c>
      <c r="O64">
        <f>O56+O58+O60</f>
        <v>1.258</v>
      </c>
      <c r="P64">
        <f t="shared" si="101"/>
        <v>0</v>
      </c>
      <c r="Q64">
        <f t="shared" si="102"/>
        <v>0</v>
      </c>
      <c r="R64">
        <f t="shared" si="103"/>
        <v>0</v>
      </c>
      <c r="S64">
        <f t="shared" si="104"/>
        <v>0</v>
      </c>
      <c r="T64">
        <f t="shared" si="105"/>
        <v>-8.1809596184419711</v>
      </c>
      <c r="U64">
        <f t="shared" si="106"/>
        <v>-5.0482782988871229</v>
      </c>
      <c r="W64">
        <f t="shared" si="107"/>
        <v>0</v>
      </c>
      <c r="X64">
        <f t="shared" si="108"/>
        <v>0</v>
      </c>
      <c r="Y64">
        <f t="shared" si="109"/>
        <v>0</v>
      </c>
      <c r="Z64">
        <f t="shared" si="110"/>
        <v>0</v>
      </c>
      <c r="AA64" s="1">
        <f t="shared" si="111"/>
        <v>-13.229237917329094</v>
      </c>
      <c r="AB64">
        <f t="shared" si="112"/>
        <v>-13.229237917329094</v>
      </c>
      <c r="AC64">
        <f t="shared" si="113"/>
        <v>0</v>
      </c>
      <c r="AH64">
        <f t="shared" si="114"/>
        <v>0</v>
      </c>
      <c r="AK64">
        <f t="shared" si="115"/>
        <v>0</v>
      </c>
    </row>
    <row r="65" spans="1:37" x14ac:dyDescent="0.25">
      <c r="A65" t="s">
        <v>43</v>
      </c>
      <c r="B65" t="s">
        <v>24</v>
      </c>
      <c r="C65">
        <v>7.6179399999999999E-4</v>
      </c>
      <c r="D65">
        <v>-1.30346E-2</v>
      </c>
      <c r="H65">
        <v>8.09734E-4</v>
      </c>
      <c r="N65" s="1">
        <f t="shared" si="81"/>
        <v>-1.1463072000000001E-2</v>
      </c>
      <c r="O65">
        <v>0.38800000000000001</v>
      </c>
      <c r="P65">
        <f t="shared" si="82"/>
        <v>1.9633865979381444E-3</v>
      </c>
      <c r="Q65">
        <f t="shared" si="83"/>
        <v>-3.3594329896907214E-2</v>
      </c>
      <c r="R65">
        <f t="shared" si="15"/>
        <v>0</v>
      </c>
      <c r="S65">
        <f t="shared" si="3"/>
        <v>0</v>
      </c>
      <c r="T65">
        <f t="shared" si="4"/>
        <v>0</v>
      </c>
      <c r="U65">
        <f t="shared" si="5"/>
        <v>2.0869432989690721E-3</v>
      </c>
      <c r="W65">
        <f t="shared" si="6"/>
        <v>0</v>
      </c>
      <c r="X65">
        <f t="shared" si="7"/>
        <v>0</v>
      </c>
      <c r="Y65">
        <f t="shared" si="8"/>
        <v>0</v>
      </c>
      <c r="Z65">
        <f t="shared" si="9"/>
        <v>0</v>
      </c>
      <c r="AA65" s="1">
        <f t="shared" si="10"/>
        <v>-2.9544000000000001E-2</v>
      </c>
      <c r="AB65">
        <f t="shared" si="11"/>
        <v>-2.9543999999999994E-2</v>
      </c>
      <c r="AC65">
        <f t="shared" si="12"/>
        <v>0</v>
      </c>
      <c r="AH65">
        <f t="shared" si="13"/>
        <v>-17.110399924389007</v>
      </c>
      <c r="AK65">
        <f t="shared" si="14"/>
        <v>-8.2942206565839118</v>
      </c>
    </row>
    <row r="66" spans="1:37" x14ac:dyDescent="0.25">
      <c r="B66" t="s">
        <v>25</v>
      </c>
      <c r="C66" s="3">
        <v>6.4734600000000003E-4</v>
      </c>
      <c r="D66">
        <v>-1.5871400000000001E-2</v>
      </c>
      <c r="H66">
        <v>-3.0590899999999999E-4</v>
      </c>
      <c r="N66" s="1">
        <f t="shared" si="81"/>
        <v>-1.5529963000000001E-2</v>
      </c>
      <c r="O66">
        <v>0.38400000000000001</v>
      </c>
      <c r="P66">
        <f t="shared" si="82"/>
        <v>1.685796875E-3</v>
      </c>
      <c r="Q66">
        <f t="shared" si="83"/>
        <v>-4.1331770833333337E-2</v>
      </c>
      <c r="R66">
        <f t="shared" si="15"/>
        <v>0</v>
      </c>
      <c r="S66">
        <f t="shared" si="3"/>
        <v>0</v>
      </c>
      <c r="T66">
        <f t="shared" si="4"/>
        <v>0</v>
      </c>
      <c r="U66">
        <f t="shared" si="5"/>
        <v>-7.9663802083333333E-4</v>
      </c>
      <c r="W66">
        <f t="shared" si="6"/>
        <v>0</v>
      </c>
      <c r="X66">
        <f t="shared" si="7"/>
        <v>0</v>
      </c>
      <c r="Y66">
        <f t="shared" si="8"/>
        <v>0</v>
      </c>
      <c r="Z66">
        <f t="shared" si="9"/>
        <v>0</v>
      </c>
      <c r="AA66" s="1">
        <f t="shared" si="10"/>
        <v>-4.0442611979166668E-2</v>
      </c>
      <c r="AB66">
        <f t="shared" si="11"/>
        <v>-4.0442611979166668E-2</v>
      </c>
      <c r="AC66">
        <f t="shared" si="12"/>
        <v>0</v>
      </c>
      <c r="AH66">
        <f t="shared" si="13"/>
        <v>-24.517645895703378</v>
      </c>
      <c r="AK66">
        <f t="shared" si="14"/>
        <v>-46.484124450484273</v>
      </c>
    </row>
    <row r="67" spans="1:37" x14ac:dyDescent="0.25">
      <c r="B67" t="s">
        <v>26</v>
      </c>
      <c r="C67">
        <v>2.6803700000000001E-3</v>
      </c>
      <c r="D67">
        <v>-4.92077E-2</v>
      </c>
      <c r="H67">
        <v>-1.03553E-2</v>
      </c>
      <c r="N67" s="1">
        <f t="shared" si="81"/>
        <v>-5.6882629999999997E-2</v>
      </c>
      <c r="O67">
        <v>1.365</v>
      </c>
      <c r="P67">
        <f t="shared" si="82"/>
        <v>1.9636410256410257E-3</v>
      </c>
      <c r="Q67">
        <f t="shared" si="83"/>
        <v>-3.6049597069597067E-2</v>
      </c>
      <c r="R67">
        <f t="shared" si="15"/>
        <v>0</v>
      </c>
      <c r="S67">
        <f t="shared" si="3"/>
        <v>0</v>
      </c>
      <c r="T67">
        <f t="shared" si="4"/>
        <v>0</v>
      </c>
      <c r="U67">
        <f t="shared" si="5"/>
        <v>-7.5863003663003657E-3</v>
      </c>
      <c r="W67">
        <f t="shared" si="6"/>
        <v>0</v>
      </c>
      <c r="X67">
        <f t="shared" si="7"/>
        <v>0</v>
      </c>
      <c r="Y67">
        <f t="shared" si="8"/>
        <v>0</v>
      </c>
      <c r="Z67">
        <f t="shared" si="9"/>
        <v>0</v>
      </c>
      <c r="AA67" s="1">
        <f t="shared" si="10"/>
        <v>-4.167225641025641E-2</v>
      </c>
      <c r="AB67">
        <f t="shared" si="11"/>
        <v>-4.1672256410256403E-2</v>
      </c>
      <c r="AC67">
        <f t="shared" si="12"/>
        <v>0</v>
      </c>
      <c r="AH67">
        <f t="shared" si="13"/>
        <v>-18.358547513962623</v>
      </c>
      <c r="AK67">
        <f t="shared" si="14"/>
        <v>6.4114851861841089</v>
      </c>
    </row>
    <row r="68" spans="1:37" x14ac:dyDescent="0.25">
      <c r="B68" t="s">
        <v>27</v>
      </c>
      <c r="C68">
        <v>3.5080599999999999E-3</v>
      </c>
      <c r="D68">
        <v>-0.51483400000000001</v>
      </c>
      <c r="H68">
        <v>-9.9522399999999997E-2</v>
      </c>
      <c r="N68" s="1">
        <f t="shared" si="81"/>
        <v>-0.61084833999999999</v>
      </c>
      <c r="O68">
        <v>1.351</v>
      </c>
      <c r="P68">
        <f t="shared" si="82"/>
        <v>2.596639526276832E-3</v>
      </c>
      <c r="Q68">
        <f t="shared" si="83"/>
        <v>-0.38107623982235383</v>
      </c>
      <c r="R68">
        <f t="shared" si="15"/>
        <v>0</v>
      </c>
      <c r="S68">
        <f t="shared" si="3"/>
        <v>0</v>
      </c>
      <c r="T68">
        <f t="shared" si="4"/>
        <v>0</v>
      </c>
      <c r="U68">
        <f t="shared" si="5"/>
        <v>-7.3665729089563287E-2</v>
      </c>
      <c r="W68">
        <f t="shared" si="6"/>
        <v>0</v>
      </c>
      <c r="X68">
        <f t="shared" si="7"/>
        <v>0</v>
      </c>
      <c r="Y68">
        <f t="shared" si="8"/>
        <v>0</v>
      </c>
      <c r="Z68">
        <f t="shared" si="9"/>
        <v>0</v>
      </c>
      <c r="AA68" s="1">
        <f t="shared" si="10"/>
        <v>-0.45214532938564028</v>
      </c>
      <c r="AB68">
        <f t="shared" si="11"/>
        <v>-0.45214532938564034</v>
      </c>
      <c r="AC68">
        <f t="shared" si="12"/>
        <v>0</v>
      </c>
      <c r="AH68">
        <f t="shared" si="13"/>
        <v>-146.75746709007259</v>
      </c>
      <c r="AK68">
        <f t="shared" si="14"/>
        <v>5.3620532099684279</v>
      </c>
    </row>
    <row r="69" spans="1:37" x14ac:dyDescent="0.25">
      <c r="B69" t="s">
        <v>134</v>
      </c>
      <c r="C69">
        <v>1.9119799999999999E-2</v>
      </c>
      <c r="D69">
        <v>-1.30081</v>
      </c>
      <c r="H69">
        <v>-0.16855700000000001</v>
      </c>
      <c r="N69" s="1">
        <f t="shared" si="81"/>
        <v>-1.4502472000000002</v>
      </c>
      <c r="O69">
        <v>3.4809999999999999</v>
      </c>
      <c r="P69">
        <f t="shared" si="82"/>
        <v>5.4926170640620508E-3</v>
      </c>
      <c r="Q69">
        <f t="shared" si="83"/>
        <v>-0.37368859523125542</v>
      </c>
      <c r="R69">
        <f t="shared" si="15"/>
        <v>0</v>
      </c>
      <c r="S69">
        <f t="shared" si="3"/>
        <v>0</v>
      </c>
      <c r="T69">
        <f t="shared" si="4"/>
        <v>0</v>
      </c>
      <c r="U69">
        <f t="shared" si="5"/>
        <v>-4.8422005170927901E-2</v>
      </c>
      <c r="W69">
        <f t="shared" si="6"/>
        <v>0</v>
      </c>
      <c r="X69">
        <f t="shared" si="7"/>
        <v>0</v>
      </c>
      <c r="Y69">
        <f t="shared" si="8"/>
        <v>0</v>
      </c>
      <c r="Z69">
        <f t="shared" si="9"/>
        <v>0</v>
      </c>
      <c r="AA69" s="1">
        <f t="shared" si="10"/>
        <v>-0.41661798333812128</v>
      </c>
      <c r="AB69">
        <f t="shared" si="11"/>
        <v>-0.41661798333812128</v>
      </c>
      <c r="AC69">
        <f t="shared" si="12"/>
        <v>0</v>
      </c>
      <c r="AH69">
        <f t="shared" si="13"/>
        <v>-68.034707476019634</v>
      </c>
      <c r="AK69">
        <f t="shared" si="14"/>
        <v>8.7047268016263679</v>
      </c>
    </row>
    <row r="70" spans="1:37" x14ac:dyDescent="0.25">
      <c r="B70" t="s">
        <v>135</v>
      </c>
      <c r="C70">
        <v>4.5587299999999997E-2</v>
      </c>
      <c r="D70">
        <v>-2.7723300000000002</v>
      </c>
      <c r="H70">
        <v>-0.25987100000000002</v>
      </c>
      <c r="N70" s="1">
        <f t="shared" si="81"/>
        <v>-2.9866136999999999</v>
      </c>
      <c r="O70">
        <v>3.4260000000000002</v>
      </c>
      <c r="P70">
        <f t="shared" si="82"/>
        <v>1.3306275539988323E-2</v>
      </c>
      <c r="Q70">
        <f t="shared" si="83"/>
        <v>-0.8092031523642732</v>
      </c>
      <c r="R70">
        <f t="shared" si="15"/>
        <v>0</v>
      </c>
      <c r="S70">
        <f t="shared" si="3"/>
        <v>0</v>
      </c>
      <c r="T70">
        <f t="shared" si="4"/>
        <v>0</v>
      </c>
      <c r="U70">
        <f t="shared" si="5"/>
        <v>-7.5852597781669584E-2</v>
      </c>
      <c r="W70">
        <f t="shared" si="6"/>
        <v>0</v>
      </c>
      <c r="X70">
        <f t="shared" si="7"/>
        <v>0</v>
      </c>
      <c r="Y70">
        <f t="shared" si="8"/>
        <v>0</v>
      </c>
      <c r="Z70">
        <f t="shared" si="9"/>
        <v>0</v>
      </c>
      <c r="AA70" s="1">
        <f t="shared" si="10"/>
        <v>-0.87174947460595442</v>
      </c>
      <c r="AB70">
        <f t="shared" si="11"/>
        <v>-0.87174947460595442</v>
      </c>
      <c r="AC70">
        <f t="shared" si="12"/>
        <v>0</v>
      </c>
      <c r="AH70">
        <f t="shared" si="13"/>
        <v>-60.813647660642339</v>
      </c>
      <c r="AK70">
        <f t="shared" si="14"/>
        <v>12.937661614019172</v>
      </c>
    </row>
    <row r="71" spans="1:37" x14ac:dyDescent="0.25">
      <c r="B71" t="s">
        <v>28</v>
      </c>
      <c r="C71">
        <f>C65+C67+C69</f>
        <v>2.2561964E-2</v>
      </c>
      <c r="D71">
        <f>D65+D67+D69</f>
        <v>-1.3630523000000001</v>
      </c>
      <c r="H71">
        <f>H65+H67+H69</f>
        <v>-0.17810256600000002</v>
      </c>
      <c r="N71" s="1">
        <f t="shared" si="81"/>
        <v>-1.518592902</v>
      </c>
      <c r="O71">
        <f>O65+O67+O69</f>
        <v>5.234</v>
      </c>
      <c r="P71">
        <f t="shared" ref="P71:P72" si="116">C71/O71</f>
        <v>4.310654184180359E-3</v>
      </c>
      <c r="Q71">
        <f t="shared" ref="Q71:Q72" si="117">D71/O71</f>
        <v>-0.26042267863966378</v>
      </c>
      <c r="R71">
        <f t="shared" ref="R71:R72" si="118">E71/O71</f>
        <v>0</v>
      </c>
      <c r="S71">
        <f t="shared" ref="S71:S72" si="119">F71/O71</f>
        <v>0</v>
      </c>
      <c r="T71">
        <f t="shared" ref="T71:T72" si="120">G71/O71</f>
        <v>0</v>
      </c>
      <c r="U71">
        <f t="shared" ref="U71:U72" si="121">H71/O71</f>
        <v>-3.4028002674818501E-2</v>
      </c>
      <c r="W71">
        <f t="shared" ref="W71:W72" si="122">J71/O71</f>
        <v>0</v>
      </c>
      <c r="X71">
        <f t="shared" ref="X71:X72" si="123">K71/O71</f>
        <v>0</v>
      </c>
      <c r="Y71">
        <f t="shared" ref="Y71:Y72" si="124">L71/O71</f>
        <v>0</v>
      </c>
      <c r="Z71">
        <f t="shared" ref="Z71:Z72" si="125">M71/O71</f>
        <v>0</v>
      </c>
      <c r="AA71" s="1">
        <f t="shared" ref="AA71:AA72" si="126">N71/O71</f>
        <v>-0.29014002713030185</v>
      </c>
      <c r="AB71">
        <f t="shared" ref="AB71:AB72" si="127">SUM(P71:X71)</f>
        <v>-0.2901400271303019</v>
      </c>
      <c r="AC71">
        <f t="shared" ref="AC71:AC72" si="128">SUM(Y71:Z71)</f>
        <v>0</v>
      </c>
      <c r="AH71">
        <f t="shared" ref="AH71:AH72" si="129">D71/SUM(C71,E71:G71)</f>
        <v>-60.413725507229785</v>
      </c>
      <c r="AK71">
        <f t="shared" ref="AK71:AK72" si="130">D71/SUM(C71,E71:H71)</f>
        <v>8.7633214895233582</v>
      </c>
    </row>
    <row r="72" spans="1:37" x14ac:dyDescent="0.25">
      <c r="B72" t="s">
        <v>29</v>
      </c>
      <c r="C72" s="3">
        <f>C66+C68+C70</f>
        <v>4.9742705999999998E-2</v>
      </c>
      <c r="D72" s="3">
        <f>D66+D68+D70</f>
        <v>-3.3030354000000002</v>
      </c>
      <c r="H72" s="3">
        <f>H66+H68+H70</f>
        <v>-0.35969930900000002</v>
      </c>
      <c r="N72" s="1">
        <f t="shared" si="81"/>
        <v>-3.6129920030000005</v>
      </c>
      <c r="O72" s="3">
        <f>O66+O68+O70</f>
        <v>5.1609999999999996</v>
      </c>
      <c r="P72">
        <f t="shared" si="116"/>
        <v>9.6381914357682626E-3</v>
      </c>
      <c r="Q72">
        <f t="shared" si="117"/>
        <v>-0.63999910869986443</v>
      </c>
      <c r="R72">
        <f t="shared" si="118"/>
        <v>0</v>
      </c>
      <c r="S72">
        <f t="shared" si="119"/>
        <v>0</v>
      </c>
      <c r="T72">
        <f t="shared" si="120"/>
        <v>0</v>
      </c>
      <c r="U72">
        <f t="shared" si="121"/>
        <v>-6.9695661499709363E-2</v>
      </c>
      <c r="W72">
        <f t="shared" si="122"/>
        <v>0</v>
      </c>
      <c r="X72">
        <f t="shared" si="123"/>
        <v>0</v>
      </c>
      <c r="Y72">
        <f t="shared" si="124"/>
        <v>0</v>
      </c>
      <c r="Z72">
        <f t="shared" si="125"/>
        <v>0</v>
      </c>
      <c r="AA72" s="1">
        <f t="shared" si="126"/>
        <v>-0.70005657876380556</v>
      </c>
      <c r="AB72">
        <f t="shared" si="127"/>
        <v>-0.70005657876380556</v>
      </c>
      <c r="AC72">
        <f t="shared" si="128"/>
        <v>0</v>
      </c>
      <c r="AH72">
        <f t="shared" si="129"/>
        <v>-66.402406817192457</v>
      </c>
      <c r="AK72">
        <f t="shared" si="130"/>
        <v>10.65644470235725</v>
      </c>
    </row>
    <row r="73" spans="1:37" x14ac:dyDescent="0.25">
      <c r="A73" t="s">
        <v>44</v>
      </c>
      <c r="B73" t="s">
        <v>32</v>
      </c>
      <c r="C73">
        <f t="shared" ref="C73:H74" si="131">C41+C31+C21+C11+C51+C61</f>
        <v>-2.6746768939999996</v>
      </c>
      <c r="D73">
        <f t="shared" si="131"/>
        <v>-6.4068000999999986E-3</v>
      </c>
      <c r="E73">
        <f t="shared" si="131"/>
        <v>-5.8959060000000002E-3</v>
      </c>
      <c r="F73">
        <f t="shared" si="131"/>
        <v>0.56688300000000003</v>
      </c>
      <c r="G73">
        <f t="shared" si="131"/>
        <v>-5.9652900000000002E-2</v>
      </c>
      <c r="H73">
        <f t="shared" si="131"/>
        <v>-6.8564622999999996</v>
      </c>
      <c r="I73">
        <f>I51</f>
        <v>7.8029399999999999E-8</v>
      </c>
      <c r="J73">
        <f>J21+J31+J41</f>
        <v>0.89955194000000005</v>
      </c>
      <c r="K73">
        <f>K21+K31+K41</f>
        <v>2.899343</v>
      </c>
      <c r="L73">
        <v>-5.59</v>
      </c>
      <c r="M73" s="3">
        <f>L73/1.15*Methane!S2</f>
        <v>-2.5688459965411381</v>
      </c>
      <c r="N73" s="1">
        <f t="shared" si="81"/>
        <v>-13.396162778611739</v>
      </c>
      <c r="O73">
        <f>O41+O31+O21+O11+O51+O61</f>
        <v>2.9560212765957448</v>
      </c>
      <c r="P73">
        <f t="shared" si="82"/>
        <v>-0.90482328905299658</v>
      </c>
      <c r="Q73">
        <f t="shared" si="83"/>
        <v>-2.1673727962399137E-3</v>
      </c>
      <c r="R73">
        <f t="shared" si="15"/>
        <v>-1.9945411241389737E-3</v>
      </c>
      <c r="S73">
        <f t="shared" si="3"/>
        <v>0.19177230031741918</v>
      </c>
      <c r="T73">
        <f t="shared" si="4"/>
        <v>-2.0180132150029152E-2</v>
      </c>
      <c r="U73">
        <f t="shared" si="5"/>
        <v>-2.3194901722412959</v>
      </c>
      <c r="V73">
        <f t="shared" ref="V73:V74" si="132">I73/O73</f>
        <v>2.6396765347325687E-8</v>
      </c>
      <c r="W73">
        <f t="shared" si="6"/>
        <v>0.30431172709147575</v>
      </c>
      <c r="X73">
        <f t="shared" si="7"/>
        <v>0.98082616081132634</v>
      </c>
      <c r="Y73">
        <f t="shared" si="8"/>
        <v>-1.8910554008047042</v>
      </c>
      <c r="Z73">
        <f t="shared" si="9"/>
        <v>-0.86902148400620072</v>
      </c>
      <c r="AA73" s="1">
        <f t="shared" si="10"/>
        <v>-4.5318221775586194</v>
      </c>
      <c r="AB73">
        <f t="shared" si="11"/>
        <v>-1.7717452927477142</v>
      </c>
      <c r="AC73">
        <f t="shared" si="12"/>
        <v>-2.7600768848109052</v>
      </c>
      <c r="AH73">
        <f t="shared" si="13"/>
        <v>2.9479014515290201E-3</v>
      </c>
      <c r="AK73">
        <f t="shared" si="14"/>
        <v>7.0951699399931655E-4</v>
      </c>
    </row>
    <row r="74" spans="1:37" x14ac:dyDescent="0.25">
      <c r="B74" t="s">
        <v>33</v>
      </c>
      <c r="C74">
        <f t="shared" si="131"/>
        <v>-2.5507522099999997</v>
      </c>
      <c r="D74">
        <f t="shared" si="131"/>
        <v>-3.4268671999999993E-2</v>
      </c>
      <c r="E74">
        <f t="shared" si="131"/>
        <v>-4.8474043000000001E-3</v>
      </c>
      <c r="F74">
        <f t="shared" si="131"/>
        <v>0.41388200000000003</v>
      </c>
      <c r="G74">
        <f t="shared" si="131"/>
        <v>-6.0492299999999999E-2</v>
      </c>
      <c r="H74">
        <f t="shared" si="131"/>
        <v>-6.4015620999999996</v>
      </c>
      <c r="I74">
        <f>I52</f>
        <v>4.3032299999999998E-5</v>
      </c>
      <c r="J74">
        <f>J22+J32+J42</f>
        <v>0.75771653000000005</v>
      </c>
      <c r="K74">
        <f>K22+K32+K42</f>
        <v>2.5808106000000004</v>
      </c>
      <c r="L74">
        <v>-6.82</v>
      </c>
      <c r="M74" s="3">
        <f>L74/1.15*Methane!S2</f>
        <v>-3.1340840244026049</v>
      </c>
      <c r="N74" s="1">
        <f t="shared" si="81"/>
        <v>-15.253554548402601</v>
      </c>
      <c r="O74">
        <f>O42+O32+O22+O12+O52+O62</f>
        <v>2.9077446808510636</v>
      </c>
      <c r="P74">
        <f t="shared" si="82"/>
        <v>-0.87722702299069244</v>
      </c>
      <c r="Q74">
        <f t="shared" si="83"/>
        <v>-1.1785309840192002E-2</v>
      </c>
      <c r="R74">
        <f t="shared" si="15"/>
        <v>-1.6670666898378507E-3</v>
      </c>
      <c r="S74">
        <f t="shared" si="3"/>
        <v>0.14233780659134815</v>
      </c>
      <c r="T74">
        <f t="shared" si="4"/>
        <v>-2.0803855441081778E-2</v>
      </c>
      <c r="U74">
        <f t="shared" si="5"/>
        <v>-2.2015557769419893</v>
      </c>
      <c r="V74">
        <f t="shared" si="132"/>
        <v>1.4799201691740327E-5</v>
      </c>
      <c r="W74">
        <f t="shared" si="6"/>
        <v>0.26058564735409473</v>
      </c>
      <c r="X74">
        <f t="shared" si="7"/>
        <v>0.88756437832933344</v>
      </c>
      <c r="Y74">
        <f t="shared" si="8"/>
        <v>-2.3454603992273024</v>
      </c>
      <c r="Z74">
        <f t="shared" si="9"/>
        <v>-1.0778401711271619</v>
      </c>
      <c r="AA74" s="1">
        <f t="shared" si="10"/>
        <v>-5.245836970781788</v>
      </c>
      <c r="AB74">
        <f t="shared" si="11"/>
        <v>-1.8225364004273255</v>
      </c>
      <c r="AC74">
        <f t="shared" si="12"/>
        <v>-3.4233005703544643</v>
      </c>
      <c r="AH74">
        <f t="shared" si="13"/>
        <v>1.5561037927164508E-2</v>
      </c>
      <c r="AK74">
        <f t="shared" si="14"/>
        <v>3.9829823411223998E-3</v>
      </c>
    </row>
    <row r="75" spans="1:37" x14ac:dyDescent="0.25">
      <c r="A75" t="s">
        <v>9</v>
      </c>
      <c r="B75" t="s">
        <v>65</v>
      </c>
      <c r="C75">
        <v>-1.6724000000000001</v>
      </c>
      <c r="D75">
        <v>2.2693999999999999E-2</v>
      </c>
      <c r="E75">
        <v>9.7901000000000002E-2</v>
      </c>
      <c r="J75">
        <v>9.2815200000000004</v>
      </c>
      <c r="K75">
        <v>48.067100000000003</v>
      </c>
      <c r="L75" s="3">
        <f>1.15*Methane!N2*1000</f>
        <v>124.794863620337</v>
      </c>
      <c r="N75" s="1">
        <f>SUM(C75:M75)</f>
        <v>180.59167862033701</v>
      </c>
      <c r="O75">
        <f>Methane!K2</f>
        <v>61.255553833455721</v>
      </c>
      <c r="P75">
        <f t="shared" si="82"/>
        <v>-2.7302014190370302E-2</v>
      </c>
      <c r="Q75">
        <f t="shared" si="83"/>
        <v>3.7048069243976537E-4</v>
      </c>
      <c r="R75">
        <f t="shared" si="15"/>
        <v>1.5982387534390354E-3</v>
      </c>
      <c r="S75">
        <f t="shared" si="3"/>
        <v>0</v>
      </c>
      <c r="T75">
        <f t="shared" si="4"/>
        <v>0</v>
      </c>
      <c r="U75">
        <f t="shared" si="5"/>
        <v>0</v>
      </c>
      <c r="W75">
        <f t="shared" si="6"/>
        <v>0.15152128124145287</v>
      </c>
      <c r="X75">
        <f t="shared" si="7"/>
        <v>0.78469782724823511</v>
      </c>
      <c r="Y75">
        <f t="shared" si="8"/>
        <v>2.0372824309063424</v>
      </c>
      <c r="Z75">
        <f t="shared" si="9"/>
        <v>0</v>
      </c>
      <c r="AA75" s="1">
        <f t="shared" si="10"/>
        <v>2.9481682446515389</v>
      </c>
      <c r="AB75">
        <f t="shared" si="11"/>
        <v>0.9108858137451965</v>
      </c>
      <c r="AC75">
        <f t="shared" si="12"/>
        <v>2.0372824309063424</v>
      </c>
      <c r="AH75">
        <f t="shared" si="13"/>
        <v>-1.4413473746251982E-2</v>
      </c>
      <c r="AK75">
        <f t="shared" si="14"/>
        <v>-1.4413473746251982E-2</v>
      </c>
    </row>
    <row r="76" spans="1:37" x14ac:dyDescent="0.25">
      <c r="B76" t="s">
        <v>53</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6"/>
  <sheetViews>
    <sheetView workbookViewId="0">
      <pane xSplit="2" ySplit="4" topLeftCell="C5" activePane="bottomRight" state="frozen"/>
      <selection pane="topRight" activeCell="C1" sqref="C1"/>
      <selection pane="bottomLeft" activeCell="A5" sqref="A5"/>
      <selection pane="bottomRight" activeCell="L1" sqref="L1"/>
    </sheetView>
  </sheetViews>
  <sheetFormatPr defaultRowHeight="15" x14ac:dyDescent="0.25"/>
  <cols>
    <col min="9" max="9" width="9.140625" style="1"/>
    <col min="17" max="17" width="9.140625" style="1"/>
  </cols>
  <sheetData>
    <row r="1" spans="1:27" x14ac:dyDescent="0.25">
      <c r="A1" t="s">
        <v>22</v>
      </c>
      <c r="L1" t="s">
        <v>136</v>
      </c>
    </row>
    <row r="2" spans="1:27" x14ac:dyDescent="0.25">
      <c r="A2" t="s">
        <v>0</v>
      </c>
      <c r="C2" s="1" t="s">
        <v>48</v>
      </c>
    </row>
    <row r="3" spans="1:27" x14ac:dyDescent="0.25">
      <c r="C3" s="1" t="s">
        <v>133</v>
      </c>
    </row>
    <row r="4" spans="1:27" x14ac:dyDescent="0.25">
      <c r="B4" t="s">
        <v>23</v>
      </c>
      <c r="C4" t="s">
        <v>49</v>
      </c>
      <c r="D4" t="s">
        <v>5</v>
      </c>
      <c r="E4" t="s">
        <v>39</v>
      </c>
      <c r="F4" t="s">
        <v>40</v>
      </c>
      <c r="G4" t="s">
        <v>9</v>
      </c>
      <c r="H4" t="s">
        <v>10</v>
      </c>
      <c r="I4" s="1" t="s">
        <v>12</v>
      </c>
      <c r="J4" t="s">
        <v>50</v>
      </c>
      <c r="K4" t="s">
        <v>51</v>
      </c>
      <c r="L4" t="s">
        <v>18</v>
      </c>
      <c r="M4" t="s">
        <v>41</v>
      </c>
      <c r="N4" t="s">
        <v>42</v>
      </c>
      <c r="O4" t="s">
        <v>19</v>
      </c>
      <c r="P4" t="s">
        <v>20</v>
      </c>
      <c r="Q4" s="1" t="s">
        <v>21</v>
      </c>
      <c r="R4" t="s">
        <v>46</v>
      </c>
      <c r="S4" t="s">
        <v>47</v>
      </c>
      <c r="W4" t="s">
        <v>82</v>
      </c>
      <c r="AA4" t="s">
        <v>14</v>
      </c>
    </row>
    <row r="5" spans="1:27" x14ac:dyDescent="0.25">
      <c r="A5" t="s">
        <v>2</v>
      </c>
      <c r="B5" t="s">
        <v>24</v>
      </c>
      <c r="C5">
        <v>-1.2601800000000001</v>
      </c>
      <c r="D5">
        <v>-2.6103000000000001</v>
      </c>
      <c r="I5" s="1">
        <f t="shared" ref="I5:I44" si="0">SUM(C5:H5)</f>
        <v>-3.8704800000000001</v>
      </c>
      <c r="J5">
        <f>3.86209/5</f>
        <v>0.77241799999999994</v>
      </c>
      <c r="K5">
        <f>C5/J5</f>
        <v>-1.6314741500068619</v>
      </c>
      <c r="L5">
        <f>D5/J5</f>
        <v>-3.3793878444054908</v>
      </c>
      <c r="M5">
        <f>E5/J5</f>
        <v>0</v>
      </c>
      <c r="N5">
        <f>F5/J5</f>
        <v>0</v>
      </c>
      <c r="O5">
        <f>G5/J5</f>
        <v>0</v>
      </c>
      <c r="P5">
        <f>H5/J5</f>
        <v>0</v>
      </c>
      <c r="Q5" s="1">
        <f>SUM(K5:P5)</f>
        <v>-5.0108619944123527</v>
      </c>
      <c r="R5">
        <f>SUM(K5:N5)</f>
        <v>-5.0108619944123527</v>
      </c>
      <c r="S5">
        <f>SUM(O5:P5)</f>
        <v>0</v>
      </c>
      <c r="W5">
        <f>C5*OsloCTM2!AH5</f>
        <v>1.9165138022093332E-2</v>
      </c>
      <c r="AA5">
        <f>W5/J5</f>
        <v>2.4811873910361142E-2</v>
      </c>
    </row>
    <row r="6" spans="1:27" x14ac:dyDescent="0.25">
      <c r="B6" t="s">
        <v>25</v>
      </c>
      <c r="C6">
        <v>-0.31956200000000001</v>
      </c>
      <c r="D6">
        <v>-0.35404200000000002</v>
      </c>
      <c r="I6" s="1">
        <f t="shared" si="0"/>
        <v>-0.67360400000000009</v>
      </c>
      <c r="J6">
        <f>4.22516/5</f>
        <v>0.84503200000000001</v>
      </c>
      <c r="K6">
        <f t="shared" ref="K6:K76" si="1">C6/J6</f>
        <v>-0.37816556059415501</v>
      </c>
      <c r="L6">
        <f t="shared" ref="L6:L76" si="2">D6/J6</f>
        <v>-0.41896874911245968</v>
      </c>
      <c r="M6">
        <f t="shared" ref="M6:M76" si="3">E6/J6</f>
        <v>0</v>
      </c>
      <c r="N6">
        <f t="shared" ref="N6:N76" si="4">F6/J6</f>
        <v>0</v>
      </c>
      <c r="O6">
        <f t="shared" ref="O6:O76" si="5">G6/J6</f>
        <v>0</v>
      </c>
      <c r="P6">
        <f t="shared" ref="P6:P76" si="6">H6/J6</f>
        <v>0</v>
      </c>
      <c r="Q6" s="1">
        <f t="shared" ref="Q6:Q76" si="7">SUM(K6:P6)</f>
        <v>-0.7971343097066147</v>
      </c>
      <c r="R6">
        <f t="shared" ref="R6:R76" si="8">SUM(K6:N6)</f>
        <v>-0.7971343097066147</v>
      </c>
      <c r="S6">
        <f t="shared" ref="S6:S76" si="9">SUM(O6:P6)</f>
        <v>0</v>
      </c>
      <c r="W6">
        <f>C6*OsloCTM2!AH6</f>
        <v>1.720615832530939E-2</v>
      </c>
      <c r="AA6">
        <f t="shared" ref="AA6:AA76" si="10">W6/J6</f>
        <v>2.0361546456595003E-2</v>
      </c>
    </row>
    <row r="7" spans="1:27" x14ac:dyDescent="0.25">
      <c r="B7" t="s">
        <v>26</v>
      </c>
      <c r="C7">
        <v>-9.9417799999999996</v>
      </c>
      <c r="D7">
        <v>-7.2639800000000001</v>
      </c>
      <c r="I7" s="1">
        <f t="shared" si="0"/>
        <v>-17.205759999999998</v>
      </c>
      <c r="J7">
        <f>15.70309/5</f>
        <v>3.1406179999999999</v>
      </c>
      <c r="K7">
        <f t="shared" si="1"/>
        <v>-3.1655489460991437</v>
      </c>
      <c r="L7">
        <f t="shared" si="2"/>
        <v>-2.3129142098784379</v>
      </c>
      <c r="M7">
        <f t="shared" si="3"/>
        <v>0</v>
      </c>
      <c r="N7">
        <f t="shared" si="4"/>
        <v>0</v>
      </c>
      <c r="O7">
        <f t="shared" si="5"/>
        <v>0</v>
      </c>
      <c r="P7">
        <f t="shared" si="6"/>
        <v>0</v>
      </c>
      <c r="Q7" s="1">
        <f t="shared" si="7"/>
        <v>-5.4784631559775816</v>
      </c>
      <c r="R7">
        <f t="shared" si="8"/>
        <v>-5.4784631559775816</v>
      </c>
      <c r="S7">
        <f t="shared" si="9"/>
        <v>0</v>
      </c>
      <c r="W7">
        <f>C7*OsloCTM2!AH7</f>
        <v>0.10278553464393096</v>
      </c>
      <c r="AA7">
        <f t="shared" si="10"/>
        <v>3.2727805369494462E-2</v>
      </c>
    </row>
    <row r="8" spans="1:27" x14ac:dyDescent="0.25">
      <c r="B8" t="s">
        <v>27</v>
      </c>
      <c r="C8">
        <v>-3.5498699999999999</v>
      </c>
      <c r="D8">
        <v>-4.8198299999999996</v>
      </c>
      <c r="I8" s="1">
        <f t="shared" si="0"/>
        <v>-8.3696999999999999</v>
      </c>
      <c r="J8">
        <f>16.76494/5</f>
        <v>3.3529879999999999</v>
      </c>
      <c r="K8">
        <f t="shared" si="1"/>
        <v>-1.0587183729855281</v>
      </c>
      <c r="L8">
        <f t="shared" si="2"/>
        <v>-1.4374730837092169</v>
      </c>
      <c r="M8">
        <f t="shared" si="3"/>
        <v>0</v>
      </c>
      <c r="N8">
        <f t="shared" si="4"/>
        <v>0</v>
      </c>
      <c r="O8">
        <f t="shared" si="5"/>
        <v>0</v>
      </c>
      <c r="P8">
        <f t="shared" si="6"/>
        <v>0</v>
      </c>
      <c r="Q8" s="1">
        <f t="shared" si="7"/>
        <v>-2.4961914566947447</v>
      </c>
      <c r="R8">
        <f t="shared" si="8"/>
        <v>-2.4961914566947447</v>
      </c>
      <c r="S8">
        <f t="shared" si="9"/>
        <v>0</v>
      </c>
      <c r="W8">
        <f>C8*OsloCTM2!AH8</f>
        <v>0.18874807429204479</v>
      </c>
      <c r="AA8">
        <f t="shared" si="10"/>
        <v>5.6292499195357934E-2</v>
      </c>
    </row>
    <row r="9" spans="1:27" x14ac:dyDescent="0.25">
      <c r="B9" t="s">
        <v>134</v>
      </c>
      <c r="C9">
        <v>-22.478400000000001</v>
      </c>
      <c r="D9">
        <v>-33.957999999999998</v>
      </c>
      <c r="I9" s="1">
        <f t="shared" si="0"/>
        <v>-56.436399999999999</v>
      </c>
      <c r="J9">
        <f>25.46495/5</f>
        <v>5.0929900000000004</v>
      </c>
      <c r="K9">
        <f t="shared" si="1"/>
        <v>-4.4135959426584384</v>
      </c>
      <c r="L9">
        <f t="shared" si="2"/>
        <v>-6.6675960486865273</v>
      </c>
      <c r="M9">
        <f t="shared" si="3"/>
        <v>0</v>
      </c>
      <c r="N9">
        <f t="shared" si="4"/>
        <v>0</v>
      </c>
      <c r="O9">
        <f t="shared" si="5"/>
        <v>0</v>
      </c>
      <c r="P9">
        <f t="shared" si="6"/>
        <v>0</v>
      </c>
      <c r="Q9" s="1">
        <f t="shared" si="7"/>
        <v>-11.081191991344966</v>
      </c>
      <c r="R9">
        <f t="shared" si="8"/>
        <v>-11.081191991344966</v>
      </c>
      <c r="S9">
        <f t="shared" si="9"/>
        <v>0</v>
      </c>
      <c r="W9">
        <f>C9*OsloCTM2!AH9</f>
        <v>0.83140599922687464</v>
      </c>
      <c r="AA9">
        <f t="shared" si="10"/>
        <v>0.16324516624357688</v>
      </c>
    </row>
    <row r="10" spans="1:27" x14ac:dyDescent="0.25">
      <c r="B10" t="s">
        <v>135</v>
      </c>
      <c r="C10">
        <v>-17.616199999999999</v>
      </c>
      <c r="D10">
        <v>-31.311</v>
      </c>
      <c r="I10" s="1">
        <f t="shared" si="0"/>
        <v>-48.927199999999999</v>
      </c>
      <c r="J10">
        <f>25.83076/5</f>
        <v>5.1661520000000003</v>
      </c>
      <c r="K10">
        <f t="shared" si="1"/>
        <v>-3.4099267694794886</v>
      </c>
      <c r="L10">
        <f t="shared" si="2"/>
        <v>-6.0607972820002196</v>
      </c>
      <c r="M10">
        <f t="shared" si="3"/>
        <v>0</v>
      </c>
      <c r="N10">
        <f t="shared" si="4"/>
        <v>0</v>
      </c>
      <c r="O10">
        <f t="shared" si="5"/>
        <v>0</v>
      </c>
      <c r="P10">
        <f t="shared" si="6"/>
        <v>0</v>
      </c>
      <c r="Q10" s="1">
        <f t="shared" si="7"/>
        <v>-9.4707240514797082</v>
      </c>
      <c r="R10">
        <f t="shared" si="8"/>
        <v>-9.4707240514797082</v>
      </c>
      <c r="S10">
        <f t="shared" si="9"/>
        <v>0</v>
      </c>
      <c r="W10">
        <f>C10*OsloCTM2!AH10</f>
        <v>0.93606077147822808</v>
      </c>
      <c r="AA10">
        <f t="shared" si="10"/>
        <v>0.18119110151583384</v>
      </c>
    </row>
    <row r="11" spans="1:27" x14ac:dyDescent="0.25">
      <c r="B11" t="s">
        <v>32</v>
      </c>
      <c r="I11" s="1">
        <f t="shared" si="0"/>
        <v>0</v>
      </c>
      <c r="J11">
        <f>5.19479/5</f>
        <v>1.038958</v>
      </c>
      <c r="K11">
        <f t="shared" si="1"/>
        <v>0</v>
      </c>
      <c r="L11">
        <f t="shared" si="2"/>
        <v>0</v>
      </c>
      <c r="M11">
        <f t="shared" si="3"/>
        <v>0</v>
      </c>
      <c r="N11">
        <f t="shared" si="4"/>
        <v>0</v>
      </c>
      <c r="O11">
        <f t="shared" si="5"/>
        <v>0</v>
      </c>
      <c r="P11">
        <f t="shared" si="6"/>
        <v>0</v>
      </c>
      <c r="Q11" s="1">
        <f t="shared" si="7"/>
        <v>0</v>
      </c>
      <c r="R11">
        <f t="shared" si="8"/>
        <v>0</v>
      </c>
      <c r="S11">
        <f t="shared" si="9"/>
        <v>0</v>
      </c>
      <c r="W11">
        <f>C11*OsloCTM2!AH11</f>
        <v>0</v>
      </c>
      <c r="AA11">
        <f t="shared" si="10"/>
        <v>0</v>
      </c>
    </row>
    <row r="12" spans="1:27" x14ac:dyDescent="0.25">
      <c r="B12" t="s">
        <v>33</v>
      </c>
      <c r="I12" s="1">
        <f t="shared" si="0"/>
        <v>0</v>
      </c>
      <c r="J12">
        <f>5.1948/5</f>
        <v>1.0389599999999999</v>
      </c>
      <c r="K12">
        <f t="shared" si="1"/>
        <v>0</v>
      </c>
      <c r="L12">
        <f t="shared" si="2"/>
        <v>0</v>
      </c>
      <c r="M12">
        <f t="shared" si="3"/>
        <v>0</v>
      </c>
      <c r="N12">
        <f t="shared" si="4"/>
        <v>0</v>
      </c>
      <c r="O12">
        <f t="shared" si="5"/>
        <v>0</v>
      </c>
      <c r="P12">
        <f t="shared" si="6"/>
        <v>0</v>
      </c>
      <c r="Q12" s="1">
        <f t="shared" si="7"/>
        <v>0</v>
      </c>
      <c r="R12">
        <f t="shared" si="8"/>
        <v>0</v>
      </c>
      <c r="S12">
        <f t="shared" si="9"/>
        <v>0</v>
      </c>
      <c r="W12">
        <f>C12*OsloCTM2!AH12</f>
        <v>0</v>
      </c>
      <c r="AA12">
        <f t="shared" si="10"/>
        <v>0</v>
      </c>
    </row>
    <row r="13" spans="1:27" x14ac:dyDescent="0.25">
      <c r="B13" t="s">
        <v>28</v>
      </c>
      <c r="C13">
        <f>C5+C7+C9</f>
        <v>-33.68036</v>
      </c>
      <c r="D13">
        <f>D5+D7+D9</f>
        <v>-43.832279999999997</v>
      </c>
      <c r="I13" s="1">
        <f t="shared" si="0"/>
        <v>-77.512640000000005</v>
      </c>
      <c r="J13">
        <f>J5+J7+J9</f>
        <v>9.0060260000000003</v>
      </c>
      <c r="K13">
        <f t="shared" ref="K13:K14" si="11">C13/J13</f>
        <v>-3.7397582463119692</v>
      </c>
      <c r="L13">
        <f t="shared" ref="L13:L14" si="12">D13/J13</f>
        <v>-4.8669946100533128</v>
      </c>
      <c r="M13">
        <f t="shared" ref="M13:M14" si="13">E13/J13</f>
        <v>0</v>
      </c>
      <c r="N13">
        <f t="shared" ref="N13:N14" si="14">F13/J13</f>
        <v>0</v>
      </c>
      <c r="O13">
        <f t="shared" ref="O13:O14" si="15">G13/J13</f>
        <v>0</v>
      </c>
      <c r="P13">
        <f t="shared" ref="P13:P14" si="16">H13/J13</f>
        <v>0</v>
      </c>
      <c r="Q13" s="1">
        <f t="shared" ref="Q13:Q14" si="17">SUM(K13:P13)</f>
        <v>-8.6067528563652829</v>
      </c>
      <c r="R13">
        <f t="shared" ref="R13:R14" si="18">SUM(K13:N13)</f>
        <v>-8.6067528563652829</v>
      </c>
      <c r="S13">
        <f t="shared" ref="S13:S14" si="19">SUM(O13:P13)</f>
        <v>0</v>
      </c>
      <c r="W13">
        <f>C13*OsloCTM2!AH13</f>
        <v>0.9315135613540626</v>
      </c>
      <c r="AA13">
        <f t="shared" ref="AA13:AA14" si="20">W13/J13</f>
        <v>0.10343225317737952</v>
      </c>
    </row>
    <row r="14" spans="1:27" x14ac:dyDescent="0.25">
      <c r="B14" t="s">
        <v>29</v>
      </c>
      <c r="C14">
        <f>C6+C8+C10</f>
        <v>-21.485631999999999</v>
      </c>
      <c r="D14">
        <f>D6+D8+D10</f>
        <v>-36.484871999999996</v>
      </c>
      <c r="I14" s="1">
        <f t="shared" si="0"/>
        <v>-57.970503999999991</v>
      </c>
      <c r="J14">
        <f>J6+J8+J10</f>
        <v>9.3641719999999999</v>
      </c>
      <c r="K14">
        <f t="shared" si="11"/>
        <v>-2.2944508067557923</v>
      </c>
      <c r="L14">
        <f t="shared" si="12"/>
        <v>-3.8962197618753689</v>
      </c>
      <c r="M14">
        <f t="shared" si="13"/>
        <v>0</v>
      </c>
      <c r="N14">
        <f t="shared" si="14"/>
        <v>0</v>
      </c>
      <c r="O14">
        <f t="shared" si="15"/>
        <v>0</v>
      </c>
      <c r="P14">
        <f t="shared" si="16"/>
        <v>0</v>
      </c>
      <c r="Q14" s="1">
        <f t="shared" si="17"/>
        <v>-6.1906705686311607</v>
      </c>
      <c r="R14">
        <f t="shared" si="18"/>
        <v>-6.1906705686311607</v>
      </c>
      <c r="S14">
        <f t="shared" si="19"/>
        <v>0</v>
      </c>
      <c r="W14">
        <f>C14*OsloCTM2!AH14</f>
        <v>1.060470958526698</v>
      </c>
      <c r="AA14">
        <f t="shared" si="20"/>
        <v>0.11324770182849034</v>
      </c>
    </row>
    <row r="15" spans="1:27" x14ac:dyDescent="0.25">
      <c r="A15" t="s">
        <v>30</v>
      </c>
      <c r="B15" t="s">
        <v>24</v>
      </c>
      <c r="C15">
        <v>-0.138881</v>
      </c>
      <c r="D15">
        <v>-0.25594699999999998</v>
      </c>
      <c r="E15">
        <v>4.9057799999999999E-2</v>
      </c>
      <c r="F15">
        <v>8.7386400000000003E-2</v>
      </c>
      <c r="G15">
        <f>-0.7684-0.11526</f>
        <v>-0.88366</v>
      </c>
      <c r="H15" s="3">
        <f>G15/1.15*Methane!S4</f>
        <v>-0.34949643830941363</v>
      </c>
      <c r="I15" s="1">
        <f t="shared" si="0"/>
        <v>-1.4915402383094136</v>
      </c>
      <c r="J15">
        <f>4.97932/5</f>
        <v>0.99586400000000008</v>
      </c>
      <c r="K15">
        <f t="shared" si="1"/>
        <v>-0.13945779745025425</v>
      </c>
      <c r="L15">
        <f t="shared" si="2"/>
        <v>-0.25700999333242286</v>
      </c>
      <c r="M15">
        <f t="shared" si="3"/>
        <v>4.9261545753235374E-2</v>
      </c>
      <c r="N15">
        <f t="shared" si="4"/>
        <v>8.7749331233983749E-2</v>
      </c>
      <c r="O15">
        <f>G15/J15</f>
        <v>-0.88732999686704206</v>
      </c>
      <c r="P15">
        <f>H15/J15</f>
        <v>-0.35094795906811932</v>
      </c>
      <c r="Q15" s="1">
        <f t="shared" si="7"/>
        <v>-1.4977348697306194</v>
      </c>
      <c r="R15">
        <f t="shared" si="8"/>
        <v>-0.25945691379545799</v>
      </c>
      <c r="S15">
        <f t="shared" si="9"/>
        <v>-1.2382779559351613</v>
      </c>
      <c r="W15">
        <f>C15*OsloCTM2!AH15</f>
        <v>-6.3566045681410024E-4</v>
      </c>
      <c r="AA15">
        <f t="shared" si="10"/>
        <v>-6.3830046754787819E-4</v>
      </c>
    </row>
    <row r="16" spans="1:27" x14ac:dyDescent="0.25">
      <c r="A16" t="s">
        <v>31</v>
      </c>
      <c r="B16" t="s">
        <v>25</v>
      </c>
      <c r="C16">
        <v>-7.4901799999999999E-3</v>
      </c>
      <c r="D16">
        <v>-3.12051E-2</v>
      </c>
      <c r="E16">
        <v>5.6757500000000002E-3</v>
      </c>
      <c r="F16">
        <v>-1.52019E-3</v>
      </c>
      <c r="G16">
        <f>-0.27948-0.04192</f>
        <v>-0.32140000000000002</v>
      </c>
      <c r="H16" s="3">
        <f>G16/1.15*Methane!S5</f>
        <v>-0.1213567570904812</v>
      </c>
      <c r="I16" s="1">
        <f t="shared" si="0"/>
        <v>-0.47729647709048123</v>
      </c>
      <c r="J16">
        <f>5.304/5</f>
        <v>1.0608</v>
      </c>
      <c r="K16">
        <f t="shared" si="1"/>
        <v>-7.0608785822021116E-3</v>
      </c>
      <c r="L16">
        <f t="shared" si="2"/>
        <v>-2.9416572398190045E-2</v>
      </c>
      <c r="M16">
        <f t="shared" si="3"/>
        <v>5.3504430618401214E-3</v>
      </c>
      <c r="N16">
        <f t="shared" si="4"/>
        <v>-1.4330599547511312E-3</v>
      </c>
      <c r="O16">
        <f>G16/J16</f>
        <v>-0.30297888386123684</v>
      </c>
      <c r="P16">
        <f>H16/J16</f>
        <v>-0.11440116618635106</v>
      </c>
      <c r="Q16" s="1">
        <f t="shared" si="7"/>
        <v>-0.44994011792089106</v>
      </c>
      <c r="R16">
        <f t="shared" si="8"/>
        <v>-3.2560067873303171E-2</v>
      </c>
      <c r="S16">
        <f t="shared" si="9"/>
        <v>-0.41738005004758788</v>
      </c>
      <c r="W16">
        <f>C16*OsloCTM2!AH16</f>
        <v>-7.5248577111068412E-3</v>
      </c>
      <c r="AA16">
        <f t="shared" si="10"/>
        <v>-7.0935687321897071E-3</v>
      </c>
    </row>
    <row r="17" spans="1:27" x14ac:dyDescent="0.25">
      <c r="B17" t="s">
        <v>26</v>
      </c>
      <c r="C17">
        <v>0.14365700000000001</v>
      </c>
      <c r="D17">
        <v>-0.18637400000000001</v>
      </c>
      <c r="E17">
        <v>0.40290500000000001</v>
      </c>
      <c r="F17">
        <v>1.41164</v>
      </c>
      <c r="G17">
        <f>-1.54768-0.23215</f>
        <v>-1.77983</v>
      </c>
      <c r="H17" s="3">
        <f>G17/1.15*Methane!S4</f>
        <v>-0.7039407077340194</v>
      </c>
      <c r="I17" s="1">
        <f>SUM(C17:H17)</f>
        <v>-0.71194270773401946</v>
      </c>
      <c r="J17">
        <f>10.10051/5</f>
        <v>2.0201020000000001</v>
      </c>
      <c r="K17">
        <f t="shared" si="1"/>
        <v>7.1113735841061496E-2</v>
      </c>
      <c r="L17">
        <f t="shared" si="2"/>
        <v>-9.225969777763697E-2</v>
      </c>
      <c r="M17">
        <f t="shared" si="3"/>
        <v>0.19944784966303683</v>
      </c>
      <c r="N17">
        <f t="shared" si="4"/>
        <v>0.69879639740963573</v>
      </c>
      <c r="O17">
        <f>G17/J17</f>
        <v>-0.88105947125442174</v>
      </c>
      <c r="P17">
        <f>H17/J17</f>
        <v>-0.34846790297421587</v>
      </c>
      <c r="Q17" s="1">
        <f t="shared" si="7"/>
        <v>-0.3524290890925405</v>
      </c>
      <c r="R17">
        <f t="shared" si="8"/>
        <v>0.87709828513609711</v>
      </c>
      <c r="S17">
        <f t="shared" si="9"/>
        <v>-1.2295273742286377</v>
      </c>
      <c r="W17">
        <f>C17*OsloCTM2!AH17</f>
        <v>5.1976233065580538E-2</v>
      </c>
      <c r="AA17">
        <f t="shared" si="10"/>
        <v>2.5729509235464614E-2</v>
      </c>
    </row>
    <row r="18" spans="1:27" x14ac:dyDescent="0.25">
      <c r="B18" t="s">
        <v>27</v>
      </c>
      <c r="C18">
        <v>0.13625499999999999</v>
      </c>
      <c r="D18">
        <v>-9.28649E-2</v>
      </c>
      <c r="E18">
        <v>0.101447</v>
      </c>
      <c r="F18">
        <v>0.28723100000000001</v>
      </c>
      <c r="G18">
        <f>-0.83594-0.12539</f>
        <v>-0.96133000000000002</v>
      </c>
      <c r="H18" s="3">
        <f>G18/1.15*Methane!S5</f>
        <v>-0.36298659394459332</v>
      </c>
      <c r="I18" s="1">
        <f>SUM(C18:H18)</f>
        <v>-0.89224849394459338</v>
      </c>
      <c r="J18">
        <f>10.55655/5</f>
        <v>2.11131</v>
      </c>
      <c r="K18">
        <f t="shared" si="1"/>
        <v>6.4535762157144141E-2</v>
      </c>
      <c r="L18">
        <f t="shared" si="2"/>
        <v>-4.3984493039866242E-2</v>
      </c>
      <c r="M18">
        <f t="shared" si="3"/>
        <v>4.8049315353974546E-2</v>
      </c>
      <c r="N18">
        <f t="shared" si="4"/>
        <v>0.13604397269941412</v>
      </c>
      <c r="O18">
        <f>G18/J18</f>
        <v>-0.45532394579668545</v>
      </c>
      <c r="P18">
        <f>H18/J18</f>
        <v>-0.17192482105640258</v>
      </c>
      <c r="Q18" s="1">
        <f t="shared" si="7"/>
        <v>-0.42260420968242152</v>
      </c>
      <c r="R18">
        <f t="shared" si="8"/>
        <v>0.20464455717066657</v>
      </c>
      <c r="S18">
        <f t="shared" si="9"/>
        <v>-0.62724876685308806</v>
      </c>
      <c r="W18">
        <f>C18*OsloCTM2!AH18</f>
        <v>0.99794508919348301</v>
      </c>
      <c r="AA18">
        <f t="shared" si="10"/>
        <v>0.47266630158218498</v>
      </c>
    </row>
    <row r="19" spans="1:27" x14ac:dyDescent="0.25">
      <c r="B19" t="s">
        <v>134</v>
      </c>
      <c r="C19">
        <v>0.25608199999999998</v>
      </c>
      <c r="D19">
        <v>2.8556900000000001</v>
      </c>
      <c r="E19">
        <v>3.1265499999999999</v>
      </c>
      <c r="F19">
        <v>9.8259500000000006</v>
      </c>
      <c r="G19">
        <f>-11.43971-1.71596</f>
        <v>-13.155670000000001</v>
      </c>
      <c r="H19" s="3">
        <f>G19/1.15*Methane!S4</f>
        <v>-5.2032001092886437</v>
      </c>
      <c r="I19" s="1">
        <f t="shared" si="0"/>
        <v>-2.2945981092886418</v>
      </c>
      <c r="J19">
        <f>31.35893/5</f>
        <v>6.2717860000000005</v>
      </c>
      <c r="K19">
        <f t="shared" si="1"/>
        <v>4.08307936527171E-2</v>
      </c>
      <c r="L19">
        <f t="shared" si="2"/>
        <v>0.45532325241964566</v>
      </c>
      <c r="M19">
        <f t="shared" si="3"/>
        <v>0.49851031269242918</v>
      </c>
      <c r="N19">
        <f t="shared" si="4"/>
        <v>1.5666908915578432</v>
      </c>
      <c r="O19">
        <f t="shared" si="5"/>
        <v>-2.0975954855602534</v>
      </c>
      <c r="P19">
        <f t="shared" si="6"/>
        <v>-0.82962016071476985</v>
      </c>
      <c r="Q19" s="1">
        <f t="shared" si="7"/>
        <v>-0.36586039595238795</v>
      </c>
      <c r="R19">
        <f t="shared" si="8"/>
        <v>2.5613552503226353</v>
      </c>
      <c r="S19">
        <f t="shared" si="9"/>
        <v>-2.9272156462750232</v>
      </c>
      <c r="W19">
        <f>C19*OsloCTM2!AH19</f>
        <v>0.24112021095898017</v>
      </c>
      <c r="AA19">
        <f t="shared" si="10"/>
        <v>3.8445222933145382E-2</v>
      </c>
    </row>
    <row r="20" spans="1:27" x14ac:dyDescent="0.25">
      <c r="B20" t="s">
        <v>135</v>
      </c>
      <c r="C20">
        <v>0.52118600000000004</v>
      </c>
      <c r="D20">
        <v>4.3885699999999996</v>
      </c>
      <c r="E20">
        <v>2.74471</v>
      </c>
      <c r="F20">
        <v>9.1438299999999995</v>
      </c>
      <c r="G20">
        <f>-12.05916-1.80887</f>
        <v>-13.868030000000001</v>
      </c>
      <c r="H20" s="3">
        <f>G20/1.15*Methane!S5</f>
        <v>-5.2364005850451338</v>
      </c>
      <c r="I20" s="1">
        <f t="shared" si="0"/>
        <v>-2.3061345850451342</v>
      </c>
      <c r="J20">
        <f>31.86677/5</f>
        <v>6.373354</v>
      </c>
      <c r="K20">
        <f t="shared" si="1"/>
        <v>8.1775780852593474E-2</v>
      </c>
      <c r="L20">
        <f t="shared" si="2"/>
        <v>0.68858092614971644</v>
      </c>
      <c r="M20">
        <f t="shared" si="3"/>
        <v>0.43065393825605797</v>
      </c>
      <c r="N20">
        <f t="shared" si="4"/>
        <v>1.4346967075734378</v>
      </c>
      <c r="O20">
        <f t="shared" si="5"/>
        <v>-2.1759390738377316</v>
      </c>
      <c r="P20">
        <f t="shared" si="6"/>
        <v>-0.82160830624583758</v>
      </c>
      <c r="Q20" s="1">
        <f t="shared" si="7"/>
        <v>-0.36184002725176356</v>
      </c>
      <c r="R20">
        <f t="shared" si="8"/>
        <v>2.6357073528318056</v>
      </c>
      <c r="S20">
        <f t="shared" si="9"/>
        <v>-2.997547380083569</v>
      </c>
      <c r="W20">
        <f>C20*OsloCTM2!AH20</f>
        <v>0.84818002989392494</v>
      </c>
      <c r="AA20">
        <f t="shared" si="10"/>
        <v>0.13308220913100463</v>
      </c>
    </row>
    <row r="21" spans="1:27" x14ac:dyDescent="0.25">
      <c r="B21" t="s">
        <v>32</v>
      </c>
      <c r="I21" s="1">
        <f t="shared" si="0"/>
        <v>0</v>
      </c>
      <c r="J21">
        <f>5.48031/5</f>
        <v>1.0960620000000001</v>
      </c>
      <c r="K21">
        <f t="shared" si="1"/>
        <v>0</v>
      </c>
      <c r="L21">
        <f t="shared" si="2"/>
        <v>0</v>
      </c>
      <c r="M21">
        <f t="shared" si="3"/>
        <v>0</v>
      </c>
      <c r="N21">
        <f t="shared" si="4"/>
        <v>0</v>
      </c>
      <c r="O21">
        <f t="shared" si="5"/>
        <v>0</v>
      </c>
      <c r="P21">
        <f t="shared" si="6"/>
        <v>0</v>
      </c>
      <c r="Q21" s="1">
        <f t="shared" si="7"/>
        <v>0</v>
      </c>
      <c r="R21">
        <f t="shared" si="8"/>
        <v>0</v>
      </c>
      <c r="S21">
        <f t="shared" si="9"/>
        <v>0</v>
      </c>
      <c r="W21">
        <f>C21*OsloCTM2!AH21</f>
        <v>0</v>
      </c>
      <c r="AA21">
        <f t="shared" si="10"/>
        <v>0</v>
      </c>
    </row>
    <row r="22" spans="1:27" x14ac:dyDescent="0.25">
      <c r="B22" t="s">
        <v>33</v>
      </c>
      <c r="I22" s="1">
        <f t="shared" si="0"/>
        <v>0</v>
      </c>
      <c r="J22">
        <f>5.48032/5</f>
        <v>1.0960639999999999</v>
      </c>
      <c r="K22">
        <f t="shared" si="1"/>
        <v>0</v>
      </c>
      <c r="L22">
        <f t="shared" si="2"/>
        <v>0</v>
      </c>
      <c r="M22">
        <f t="shared" si="3"/>
        <v>0</v>
      </c>
      <c r="N22">
        <f t="shared" si="4"/>
        <v>0</v>
      </c>
      <c r="O22">
        <f t="shared" si="5"/>
        <v>0</v>
      </c>
      <c r="P22">
        <f t="shared" si="6"/>
        <v>0</v>
      </c>
      <c r="Q22" s="1">
        <f t="shared" si="7"/>
        <v>0</v>
      </c>
      <c r="R22">
        <f t="shared" si="8"/>
        <v>0</v>
      </c>
      <c r="S22">
        <f t="shared" si="9"/>
        <v>0</v>
      </c>
      <c r="W22">
        <f>C22*OsloCTM2!AH22</f>
        <v>0</v>
      </c>
      <c r="AA22">
        <f t="shared" si="10"/>
        <v>0</v>
      </c>
    </row>
    <row r="23" spans="1:27" x14ac:dyDescent="0.25">
      <c r="B23" t="s">
        <v>28</v>
      </c>
      <c r="C23">
        <f>C15+C17+C19</f>
        <v>0.26085799999999998</v>
      </c>
      <c r="D23">
        <f t="shared" ref="D23:H23" si="21">D15+D17+D19</f>
        <v>2.4133690000000003</v>
      </c>
      <c r="E23">
        <f t="shared" si="21"/>
        <v>3.5785127999999999</v>
      </c>
      <c r="F23">
        <f t="shared" si="21"/>
        <v>11.324976400000001</v>
      </c>
      <c r="G23">
        <f t="shared" si="21"/>
        <v>-15.81916</v>
      </c>
      <c r="H23">
        <f t="shared" si="21"/>
        <v>-6.2566372553320768</v>
      </c>
      <c r="I23" s="1">
        <f t="shared" si="0"/>
        <v>-4.4980810553320758</v>
      </c>
      <c r="J23">
        <f>J15+J17+J19</f>
        <v>9.2877520000000011</v>
      </c>
      <c r="K23">
        <f t="shared" ref="K23:K24" si="22">C23/J23</f>
        <v>2.8086236583405751E-2</v>
      </c>
      <c r="L23">
        <f t="shared" ref="L23:L24" si="23">D23/J23</f>
        <v>0.25984425510069609</v>
      </c>
      <c r="M23">
        <f t="shared" ref="M23:M24" si="24">E23/J23</f>
        <v>0.3852937503068557</v>
      </c>
      <c r="N23">
        <f t="shared" ref="N23:N24" si="25">F23/J23</f>
        <v>1.2193452624488681</v>
      </c>
      <c r="O23">
        <f t="shared" ref="O23:O24" si="26">G23/J23</f>
        <v>-1.7032280793027201</v>
      </c>
      <c r="P23">
        <f t="shared" ref="P23:P24" si="27">H23/J23</f>
        <v>-0.67364387586275731</v>
      </c>
      <c r="Q23" s="1">
        <f t="shared" ref="Q23:Q24" si="28">SUM(K23:P23)</f>
        <v>-0.48430245072565181</v>
      </c>
      <c r="R23">
        <f t="shared" ref="R23:R24" si="29">SUM(K23:N23)</f>
        <v>1.8925695044398256</v>
      </c>
      <c r="S23">
        <f t="shared" ref="S23:S24" si="30">SUM(O23:P23)</f>
        <v>-2.3768719551654773</v>
      </c>
      <c r="W23">
        <f>C23*OsloCTM2!AH23</f>
        <v>0.13070180861195627</v>
      </c>
      <c r="AA23">
        <f t="shared" ref="AA23:AA24" si="31">W23/J23</f>
        <v>1.4072491234903371E-2</v>
      </c>
    </row>
    <row r="24" spans="1:27" x14ac:dyDescent="0.25">
      <c r="B24" t="s">
        <v>29</v>
      </c>
      <c r="C24">
        <f>C16+C18+C20</f>
        <v>0.64995082000000004</v>
      </c>
      <c r="D24">
        <f t="shared" ref="D24:H24" si="32">D16+D18+D20</f>
        <v>4.2645</v>
      </c>
      <c r="E24">
        <f t="shared" si="32"/>
        <v>2.8518327499999998</v>
      </c>
      <c r="F24">
        <f t="shared" si="32"/>
        <v>9.4295408099999989</v>
      </c>
      <c r="G24">
        <f t="shared" si="32"/>
        <v>-15.150760000000002</v>
      </c>
      <c r="H24">
        <f t="shared" si="32"/>
        <v>-5.7207439360802086</v>
      </c>
      <c r="I24" s="1">
        <f t="shared" si="0"/>
        <v>-3.6756795560802127</v>
      </c>
      <c r="J24">
        <f>J16+J18+J20</f>
        <v>9.5454639999999991</v>
      </c>
      <c r="K24">
        <f t="shared" si="22"/>
        <v>6.8090018463219812E-2</v>
      </c>
      <c r="L24">
        <f t="shared" si="23"/>
        <v>0.44675670035526827</v>
      </c>
      <c r="M24">
        <f t="shared" si="24"/>
        <v>0.29876313503460911</v>
      </c>
      <c r="N24">
        <f t="shared" si="25"/>
        <v>0.98785567783818573</v>
      </c>
      <c r="O24">
        <f t="shared" si="26"/>
        <v>-1.5872209040859619</v>
      </c>
      <c r="P24">
        <f t="shared" si="27"/>
        <v>-0.59931543779120733</v>
      </c>
      <c r="Q24" s="1">
        <f t="shared" si="28"/>
        <v>-0.3850708101858864</v>
      </c>
      <c r="R24">
        <f t="shared" si="29"/>
        <v>1.8014655316912829</v>
      </c>
      <c r="S24">
        <f t="shared" si="30"/>
        <v>-2.1865363418771695</v>
      </c>
      <c r="W24">
        <f>C24*OsloCTM2!AH24</f>
        <v>1.9316550970043986</v>
      </c>
      <c r="AA24">
        <f t="shared" si="31"/>
        <v>0.2023636668688289</v>
      </c>
    </row>
    <row r="25" spans="1:27" x14ac:dyDescent="0.25">
      <c r="A25" t="s">
        <v>34</v>
      </c>
      <c r="B25" t="s">
        <v>24</v>
      </c>
      <c r="C25">
        <v>2.0307200000000001E-2</v>
      </c>
      <c r="D25">
        <v>6.5416100000000005E-2</v>
      </c>
      <c r="E25">
        <v>1.60287E-2</v>
      </c>
      <c r="F25">
        <v>4.3571400000000003E-2</v>
      </c>
      <c r="G25">
        <f>0.20401+0.0306</f>
        <v>0.23460999999999999</v>
      </c>
      <c r="H25" s="3">
        <f>G25/1.15*Methane!S4</f>
        <v>9.279062013870891E-2</v>
      </c>
      <c r="I25" s="1">
        <f t="shared" si="0"/>
        <v>0.4727240201387089</v>
      </c>
      <c r="J25">
        <f>12.36821/5</f>
        <v>2.4736419999999999</v>
      </c>
      <c r="K25">
        <f t="shared" si="1"/>
        <v>8.2094337014006081E-3</v>
      </c>
      <c r="L25">
        <f t="shared" si="2"/>
        <v>2.644525764035378E-2</v>
      </c>
      <c r="M25">
        <f t="shared" si="3"/>
        <v>6.4797978042093404E-3</v>
      </c>
      <c r="N25">
        <f t="shared" si="4"/>
        <v>1.761427077968437E-2</v>
      </c>
      <c r="O25">
        <f t="shared" si="5"/>
        <v>9.4843958826701685E-2</v>
      </c>
      <c r="P25">
        <f t="shared" si="6"/>
        <v>3.7511741852179467E-2</v>
      </c>
      <c r="Q25" s="1">
        <f t="shared" si="7"/>
        <v>0.19110446060452924</v>
      </c>
      <c r="R25">
        <f t="shared" si="8"/>
        <v>5.8748759925648097E-2</v>
      </c>
      <c r="S25">
        <f t="shared" si="9"/>
        <v>0.13235570067888114</v>
      </c>
      <c r="W25">
        <f>C25*OsloCTM2!AH25</f>
        <v>-1.8801534917597256E-6</v>
      </c>
      <c r="AA25">
        <f t="shared" si="10"/>
        <v>-7.6007501965107553E-7</v>
      </c>
    </row>
    <row r="26" spans="1:27" x14ac:dyDescent="0.25">
      <c r="B26" t="s">
        <v>25</v>
      </c>
      <c r="C26">
        <v>1.1779700000000001E-2</v>
      </c>
      <c r="D26">
        <v>5.7035799999999998E-2</v>
      </c>
      <c r="E26">
        <v>2.03225E-2</v>
      </c>
      <c r="F26">
        <v>6.5837000000000007E-2</v>
      </c>
      <c r="G26">
        <f>0.30367+0.04555</f>
        <v>0.34921999999999997</v>
      </c>
      <c r="H26" s="3">
        <f>G26/1.15*Methane!S5</f>
        <v>0.13186125299047244</v>
      </c>
      <c r="I26" s="1">
        <f t="shared" si="0"/>
        <v>0.63605625299047241</v>
      </c>
      <c r="J26">
        <f>15.54266/5</f>
        <v>3.1085319999999999</v>
      </c>
      <c r="K26">
        <f t="shared" si="1"/>
        <v>3.7894736164852095E-3</v>
      </c>
      <c r="L26">
        <f t="shared" si="2"/>
        <v>1.8348146327591287E-2</v>
      </c>
      <c r="M26">
        <f t="shared" si="3"/>
        <v>6.5376518562459711E-3</v>
      </c>
      <c r="N26">
        <f t="shared" si="4"/>
        <v>2.1179450621708257E-2</v>
      </c>
      <c r="O26">
        <f t="shared" si="5"/>
        <v>0.11234241757845825</v>
      </c>
      <c r="P26">
        <f t="shared" si="6"/>
        <v>4.2419139642272445E-2</v>
      </c>
      <c r="Q26" s="1">
        <f t="shared" si="7"/>
        <v>0.20461627964276141</v>
      </c>
      <c r="R26">
        <f t="shared" si="8"/>
        <v>4.985472242203072E-2</v>
      </c>
      <c r="S26">
        <f t="shared" si="9"/>
        <v>0.15476155722073071</v>
      </c>
      <c r="W26">
        <f>C26*OsloCTM2!AH26</f>
        <v>8.8311876302948986E-4</v>
      </c>
      <c r="AA26">
        <f t="shared" si="10"/>
        <v>2.8409511725454006E-4</v>
      </c>
    </row>
    <row r="27" spans="1:27" x14ac:dyDescent="0.25">
      <c r="B27" t="s">
        <v>26</v>
      </c>
      <c r="C27">
        <v>-2.1807300000000002E-2</v>
      </c>
      <c r="D27">
        <v>0.28901900000000003</v>
      </c>
      <c r="E27">
        <v>0.14049600000000001</v>
      </c>
      <c r="F27">
        <v>0.55409600000000003</v>
      </c>
      <c r="G27">
        <f>0.98301+0.14745</f>
        <v>1.13046</v>
      </c>
      <c r="H27" s="3">
        <f>G27/1.15*Methane!S4</f>
        <v>0.4471083263373466</v>
      </c>
      <c r="I27" s="1">
        <f t="shared" si="0"/>
        <v>2.5393720263373467</v>
      </c>
      <c r="J27">
        <f>64.53268/5</f>
        <v>12.906535999999999</v>
      </c>
      <c r="K27">
        <f t="shared" si="1"/>
        <v>-1.6896322917318793E-3</v>
      </c>
      <c r="L27">
        <f t="shared" si="2"/>
        <v>2.2393227741355236E-2</v>
      </c>
      <c r="M27">
        <f t="shared" si="3"/>
        <v>1.0885647396017026E-2</v>
      </c>
      <c r="N27">
        <f t="shared" si="4"/>
        <v>4.2931426371878564E-2</v>
      </c>
      <c r="O27">
        <f t="shared" si="5"/>
        <v>8.7588180128269896E-2</v>
      </c>
      <c r="P27">
        <f t="shared" si="6"/>
        <v>3.4642008230352947E-2</v>
      </c>
      <c r="Q27" s="1">
        <f t="shared" si="7"/>
        <v>0.1967508575761418</v>
      </c>
      <c r="R27">
        <f t="shared" si="8"/>
        <v>7.4520669217518945E-2</v>
      </c>
      <c r="S27">
        <f t="shared" si="9"/>
        <v>0.12223018835862284</v>
      </c>
      <c r="W27">
        <f>C27*OsloCTM2!AH27</f>
        <v>3.0119567933160836E-4</v>
      </c>
      <c r="AA27">
        <f t="shared" si="10"/>
        <v>2.3336678356734014E-5</v>
      </c>
    </row>
    <row r="28" spans="1:27" x14ac:dyDescent="0.25">
      <c r="B28" t="s">
        <v>27</v>
      </c>
      <c r="C28">
        <v>8.3597699999999997E-2</v>
      </c>
      <c r="D28">
        <v>0.34489700000000001</v>
      </c>
      <c r="E28">
        <v>0.15923799999999999</v>
      </c>
      <c r="F28">
        <v>0.63880499999999996</v>
      </c>
      <c r="G28">
        <f>1.6504+0.24756</f>
        <v>1.8979600000000001</v>
      </c>
      <c r="H28" s="3">
        <f>G28/1.15*Methane!S5</f>
        <v>0.71664676629573654</v>
      </c>
      <c r="I28" s="1">
        <f t="shared" si="0"/>
        <v>3.8411444662957366</v>
      </c>
      <c r="J28">
        <f>85.59558/5</f>
        <v>17.119115999999998</v>
      </c>
      <c r="K28">
        <f t="shared" si="1"/>
        <v>4.8832953757658986E-3</v>
      </c>
      <c r="L28">
        <f t="shared" si="2"/>
        <v>2.0146893098919361E-2</v>
      </c>
      <c r="M28">
        <f t="shared" si="3"/>
        <v>9.3017653481640063E-3</v>
      </c>
      <c r="N28">
        <f t="shared" si="4"/>
        <v>3.731530296307356E-2</v>
      </c>
      <c r="O28">
        <f t="shared" si="5"/>
        <v>0.11086787425238548</v>
      </c>
      <c r="P28">
        <f t="shared" si="6"/>
        <v>4.1862369896654511E-2</v>
      </c>
      <c r="Q28" s="1">
        <f t="shared" si="7"/>
        <v>0.22437750093496281</v>
      </c>
      <c r="R28">
        <f t="shared" si="8"/>
        <v>7.1647256785922819E-2</v>
      </c>
      <c r="S28">
        <f t="shared" si="9"/>
        <v>0.15273024414903999</v>
      </c>
      <c r="W28">
        <f>C28*OsloCTM2!AH28</f>
        <v>-2.3814833647411052E-3</v>
      </c>
      <c r="AA28">
        <f t="shared" si="10"/>
        <v>-1.3911251987200188E-4</v>
      </c>
    </row>
    <row r="29" spans="1:27" x14ac:dyDescent="0.25">
      <c r="B29" t="s">
        <v>134</v>
      </c>
      <c r="C29">
        <v>4.8028599999999998E-2</v>
      </c>
      <c r="D29">
        <v>0.44001000000000001</v>
      </c>
      <c r="E29">
        <v>0.49812299999999998</v>
      </c>
      <c r="F29">
        <v>1.9487300000000001</v>
      </c>
      <c r="G29">
        <f>2.81759+0.42264</f>
        <v>3.2402299999999999</v>
      </c>
      <c r="H29" s="3">
        <f>G29/1.15*Methane!S4</f>
        <v>1.281543630246148</v>
      </c>
      <c r="I29" s="1">
        <f t="shared" si="0"/>
        <v>7.4566652302461485</v>
      </c>
      <c r="J29">
        <f>173.2231/5</f>
        <v>34.644619999999996</v>
      </c>
      <c r="K29">
        <f t="shared" si="1"/>
        <v>1.386322032107727E-3</v>
      </c>
      <c r="L29">
        <f t="shared" si="2"/>
        <v>1.2700673293573434E-2</v>
      </c>
      <c r="M29">
        <f t="shared" si="3"/>
        <v>1.4378076596019815E-2</v>
      </c>
      <c r="N29">
        <f t="shared" si="4"/>
        <v>5.6249137672746891E-2</v>
      </c>
      <c r="O29">
        <f t="shared" si="5"/>
        <v>9.3527653067056307E-2</v>
      </c>
      <c r="P29">
        <f t="shared" si="6"/>
        <v>3.6991129654363311E-2</v>
      </c>
      <c r="Q29" s="1">
        <f t="shared" si="7"/>
        <v>0.21523299231586746</v>
      </c>
      <c r="R29">
        <f t="shared" si="8"/>
        <v>8.4714209594447865E-2</v>
      </c>
      <c r="S29">
        <f t="shared" si="9"/>
        <v>0.13051878272141962</v>
      </c>
      <c r="W29">
        <f>C29*OsloCTM2!AH29</f>
        <v>2.4720709727353431E-3</v>
      </c>
      <c r="AA29">
        <f t="shared" si="10"/>
        <v>7.1355118709206321E-5</v>
      </c>
    </row>
    <row r="30" spans="1:27" x14ac:dyDescent="0.25">
      <c r="B30" t="s">
        <v>135</v>
      </c>
      <c r="C30">
        <v>0.17088900000000001</v>
      </c>
      <c r="D30">
        <v>0.57640400000000003</v>
      </c>
      <c r="E30">
        <v>0.44425599999999998</v>
      </c>
      <c r="F30">
        <v>1.78522</v>
      </c>
      <c r="G30">
        <f>3.40464+0.5107</f>
        <v>3.91534</v>
      </c>
      <c r="H30" s="3">
        <f>G30/1.15*Methane!S5</f>
        <v>1.47838508185017</v>
      </c>
      <c r="I30" s="1">
        <f t="shared" si="0"/>
        <v>8.3704940818501701</v>
      </c>
      <c r="J30">
        <f>175.8226/5</f>
        <v>35.164519999999996</v>
      </c>
      <c r="K30">
        <f t="shared" si="1"/>
        <v>4.8596994925567032E-3</v>
      </c>
      <c r="L30">
        <f t="shared" si="2"/>
        <v>1.6391635660034605E-2</v>
      </c>
      <c r="M30">
        <f t="shared" si="3"/>
        <v>1.2633643229027441E-2</v>
      </c>
      <c r="N30">
        <f t="shared" si="4"/>
        <v>5.0767648755051971E-2</v>
      </c>
      <c r="O30">
        <f t="shared" si="5"/>
        <v>0.11134347916593204</v>
      </c>
      <c r="P30">
        <f t="shared" si="6"/>
        <v>4.2041952566114087E-2</v>
      </c>
      <c r="Q30" s="1">
        <f t="shared" si="7"/>
        <v>0.23803805886871685</v>
      </c>
      <c r="R30">
        <f t="shared" si="8"/>
        <v>8.4652627136670711E-2</v>
      </c>
      <c r="S30">
        <f t="shared" si="9"/>
        <v>0.15338543173204613</v>
      </c>
      <c r="W30">
        <f>C30*OsloCTM2!AH30</f>
        <v>6.5235241003427811E-3</v>
      </c>
      <c r="AA30">
        <f t="shared" si="10"/>
        <v>1.8551437927612213E-4</v>
      </c>
    </row>
    <row r="31" spans="1:27" x14ac:dyDescent="0.25">
      <c r="B31" t="s">
        <v>32</v>
      </c>
      <c r="I31" s="1">
        <f t="shared" si="0"/>
        <v>0</v>
      </c>
      <c r="J31">
        <f>0.57019/5</f>
        <v>0.114038</v>
      </c>
      <c r="K31">
        <f t="shared" si="1"/>
        <v>0</v>
      </c>
      <c r="L31">
        <f t="shared" si="2"/>
        <v>0</v>
      </c>
      <c r="M31">
        <f t="shared" si="3"/>
        <v>0</v>
      </c>
      <c r="N31">
        <f t="shared" si="4"/>
        <v>0</v>
      </c>
      <c r="O31">
        <f t="shared" si="5"/>
        <v>0</v>
      </c>
      <c r="P31">
        <f t="shared" si="6"/>
        <v>0</v>
      </c>
      <c r="Q31" s="1">
        <f t="shared" si="7"/>
        <v>0</v>
      </c>
      <c r="R31">
        <f t="shared" si="8"/>
        <v>0</v>
      </c>
      <c r="S31">
        <f t="shared" si="9"/>
        <v>0</v>
      </c>
      <c r="W31">
        <f>C31*OsloCTM2!AH31</f>
        <v>0</v>
      </c>
      <c r="AA31">
        <f t="shared" si="10"/>
        <v>0</v>
      </c>
    </row>
    <row r="32" spans="1:27" x14ac:dyDescent="0.25">
      <c r="B32" t="s">
        <v>33</v>
      </c>
      <c r="I32" s="1">
        <f t="shared" si="0"/>
        <v>0</v>
      </c>
      <c r="J32">
        <f>0.57019/5</f>
        <v>0.114038</v>
      </c>
      <c r="K32">
        <f t="shared" si="1"/>
        <v>0</v>
      </c>
      <c r="L32">
        <f t="shared" si="2"/>
        <v>0</v>
      </c>
      <c r="M32">
        <f t="shared" si="3"/>
        <v>0</v>
      </c>
      <c r="N32">
        <f t="shared" si="4"/>
        <v>0</v>
      </c>
      <c r="O32">
        <f t="shared" si="5"/>
        <v>0</v>
      </c>
      <c r="P32">
        <f t="shared" si="6"/>
        <v>0</v>
      </c>
      <c r="Q32" s="1">
        <f t="shared" si="7"/>
        <v>0</v>
      </c>
      <c r="R32">
        <f t="shared" si="8"/>
        <v>0</v>
      </c>
      <c r="S32">
        <f t="shared" si="9"/>
        <v>0</v>
      </c>
      <c r="W32">
        <f>C32*OsloCTM2!AH32</f>
        <v>0</v>
      </c>
      <c r="AA32">
        <f t="shared" si="10"/>
        <v>0</v>
      </c>
    </row>
    <row r="33" spans="1:27" x14ac:dyDescent="0.25">
      <c r="B33" t="s">
        <v>28</v>
      </c>
      <c r="C33">
        <f>C25+C27+C29</f>
        <v>4.65285E-2</v>
      </c>
      <c r="D33">
        <f t="shared" ref="D33:H33" si="33">D25+D27+D29</f>
        <v>0.79444510000000002</v>
      </c>
      <c r="E33">
        <f t="shared" si="33"/>
        <v>0.65464769999999994</v>
      </c>
      <c r="F33">
        <f t="shared" si="33"/>
        <v>2.5463974</v>
      </c>
      <c r="G33">
        <f t="shared" si="33"/>
        <v>4.6052999999999997</v>
      </c>
      <c r="H33">
        <f t="shared" si="33"/>
        <v>1.8214425767222036</v>
      </c>
      <c r="I33" s="1">
        <f t="shared" si="0"/>
        <v>10.468761276722203</v>
      </c>
      <c r="J33">
        <f>J25+J27+J29</f>
        <v>50.024797999999997</v>
      </c>
      <c r="K33">
        <f t="shared" ref="K33:K34" si="34">C33/J33</f>
        <v>9.3010870328751754E-4</v>
      </c>
      <c r="L33">
        <f t="shared" ref="L33:L34" si="35">D33/J33</f>
        <v>1.5881025646520355E-2</v>
      </c>
      <c r="M33">
        <f t="shared" ref="M33:M34" si="36">E33/J33</f>
        <v>1.3086463637494349E-2</v>
      </c>
      <c r="N33">
        <f t="shared" ref="N33:N34" si="37">F33/J33</f>
        <v>5.0902702295769396E-2</v>
      </c>
      <c r="O33">
        <f t="shared" ref="O33:O34" si="38">G33/J33</f>
        <v>9.2060341752904229E-2</v>
      </c>
      <c r="P33">
        <f t="shared" ref="P33:P34" si="39">H33/J33</f>
        <v>3.6410793237430038E-2</v>
      </c>
      <c r="Q33" s="1">
        <f t="shared" ref="Q33:Q34" si="40">SUM(K33:P33)</f>
        <v>0.20927143527340589</v>
      </c>
      <c r="R33">
        <f t="shared" ref="R33:R34" si="41">SUM(K33:N33)</f>
        <v>8.0800300283071613E-2</v>
      </c>
      <c r="S33">
        <f t="shared" ref="S33:S34" si="42">SUM(O33:P33)</f>
        <v>0.12847113499033427</v>
      </c>
      <c r="W33">
        <f>C33*OsloCTM2!AH33</f>
        <v>6.0719660610041005E-4</v>
      </c>
      <c r="AA33">
        <f t="shared" ref="AA33:AA34" si="43">W33/J33</f>
        <v>1.2137912203071965E-5</v>
      </c>
    </row>
    <row r="34" spans="1:27" x14ac:dyDescent="0.25">
      <c r="B34" t="s">
        <v>29</v>
      </c>
      <c r="C34">
        <f>C26+C28+C30</f>
        <v>0.26626640000000001</v>
      </c>
      <c r="D34">
        <f t="shared" ref="D34:H34" si="44">D26+D28+D30</f>
        <v>0.97833680000000001</v>
      </c>
      <c r="E34">
        <f t="shared" si="44"/>
        <v>0.6238165</v>
      </c>
      <c r="F34">
        <f t="shared" si="44"/>
        <v>2.489862</v>
      </c>
      <c r="G34">
        <f t="shared" si="44"/>
        <v>6.1625200000000007</v>
      </c>
      <c r="H34">
        <f t="shared" si="44"/>
        <v>2.3268931011363789</v>
      </c>
      <c r="I34" s="1">
        <f t="shared" si="0"/>
        <v>12.847694801136379</v>
      </c>
      <c r="J34">
        <f>J26+J28+J30</f>
        <v>55.392167999999998</v>
      </c>
      <c r="K34">
        <f t="shared" si="34"/>
        <v>4.8069322724468922E-3</v>
      </c>
      <c r="L34">
        <f t="shared" si="35"/>
        <v>1.7662005935568364E-2</v>
      </c>
      <c r="M34">
        <f t="shared" si="36"/>
        <v>1.1261817735677001E-2</v>
      </c>
      <c r="N34">
        <f t="shared" si="37"/>
        <v>4.494971202427029E-2</v>
      </c>
      <c r="O34">
        <f t="shared" si="38"/>
        <v>0.11125255108267293</v>
      </c>
      <c r="P34">
        <f t="shared" si="39"/>
        <v>4.2007619220399153E-2</v>
      </c>
      <c r="Q34" s="1">
        <f t="shared" si="40"/>
        <v>0.23194063827103462</v>
      </c>
      <c r="R34">
        <f t="shared" si="41"/>
        <v>7.8680467967962547E-2</v>
      </c>
      <c r="S34">
        <f t="shared" si="42"/>
        <v>0.1532601703030721</v>
      </c>
      <c r="W34">
        <f>C34*OsloCTM2!AH34</f>
        <v>4.2158096573939137E-3</v>
      </c>
      <c r="AA34">
        <f t="shared" si="43"/>
        <v>7.6108406830978598E-5</v>
      </c>
    </row>
    <row r="35" spans="1:27" x14ac:dyDescent="0.25">
      <c r="A35" t="s">
        <v>35</v>
      </c>
      <c r="B35" t="s">
        <v>24</v>
      </c>
      <c r="C35">
        <v>1.4263800000000001E-3</v>
      </c>
      <c r="D35">
        <v>1.01446E-2</v>
      </c>
      <c r="E35">
        <v>1.8643900000000001E-2</v>
      </c>
      <c r="F35">
        <v>5.7592499999999998E-2</v>
      </c>
      <c r="G35">
        <f>0.09597+0.0144</f>
        <v>0.11037</v>
      </c>
      <c r="H35" s="3">
        <f>G35/1.15*Methane!S4</f>
        <v>4.3652447656576034E-2</v>
      </c>
      <c r="I35" s="1">
        <f t="shared" si="0"/>
        <v>0.24182982765657601</v>
      </c>
      <c r="J35">
        <f>1.4068/5</f>
        <v>0.28136</v>
      </c>
      <c r="K35">
        <f t="shared" si="1"/>
        <v>5.0695905601364803E-3</v>
      </c>
      <c r="L35">
        <f t="shared" si="2"/>
        <v>3.605558714813762E-2</v>
      </c>
      <c r="M35">
        <f t="shared" si="3"/>
        <v>6.6263505828831393E-2</v>
      </c>
      <c r="N35">
        <f t="shared" si="4"/>
        <v>0.20469327551890815</v>
      </c>
      <c r="O35">
        <f t="shared" si="5"/>
        <v>0.39227324424225191</v>
      </c>
      <c r="P35">
        <f t="shared" si="6"/>
        <v>0.15514802266340644</v>
      </c>
      <c r="Q35" s="1">
        <f t="shared" si="7"/>
        <v>0.85950322596167206</v>
      </c>
      <c r="R35">
        <f t="shared" si="8"/>
        <v>0.31208195905601366</v>
      </c>
      <c r="S35">
        <f t="shared" si="9"/>
        <v>0.5474212669056584</v>
      </c>
      <c r="W35">
        <f>C35*OsloCTM2!AH35</f>
        <v>1.9212548270003184E-5</v>
      </c>
      <c r="AA35">
        <f t="shared" si="10"/>
        <v>6.8284575881444364E-5</v>
      </c>
    </row>
    <row r="36" spans="1:27" x14ac:dyDescent="0.25">
      <c r="A36" t="s">
        <v>36</v>
      </c>
      <c r="B36" t="s">
        <v>25</v>
      </c>
      <c r="C36">
        <v>-2.3398800000000001E-2</v>
      </c>
      <c r="D36">
        <v>-5.5477600000000002E-2</v>
      </c>
      <c r="E36">
        <v>2.2840900000000001E-2</v>
      </c>
      <c r="F36">
        <v>7.5070600000000001E-2</v>
      </c>
      <c r="G36">
        <f>0.09019+0.01353</f>
        <v>0.10372000000000001</v>
      </c>
      <c r="H36" s="3">
        <f>G36/1.15*Methane!S5</f>
        <v>3.9163418934115464E-2</v>
      </c>
      <c r="I36" s="1">
        <f t="shared" si="0"/>
        <v>0.16191851893411546</v>
      </c>
      <c r="J36">
        <f>1.81135/5</f>
        <v>0.36226999999999998</v>
      </c>
      <c r="K36">
        <f t="shared" si="1"/>
        <v>-6.4589394650398882E-2</v>
      </c>
      <c r="L36">
        <f t="shared" si="2"/>
        <v>-0.15313881911281643</v>
      </c>
      <c r="M36">
        <f t="shared" si="3"/>
        <v>6.3049383056836064E-2</v>
      </c>
      <c r="N36">
        <f t="shared" si="4"/>
        <v>0.20722278963204241</v>
      </c>
      <c r="O36">
        <f t="shared" si="5"/>
        <v>0.28630579402103407</v>
      </c>
      <c r="P36">
        <f t="shared" si="6"/>
        <v>0.10810560889423763</v>
      </c>
      <c r="Q36" s="1">
        <f t="shared" si="7"/>
        <v>0.44695536184093482</v>
      </c>
      <c r="R36">
        <f t="shared" si="8"/>
        <v>5.2543958925663131E-2</v>
      </c>
      <c r="S36">
        <f t="shared" si="9"/>
        <v>0.39441140291527171</v>
      </c>
      <c r="W36">
        <f>C36*OsloCTM2!AH36</f>
        <v>-1.8858764962693085E-3</v>
      </c>
      <c r="AA36">
        <f t="shared" si="10"/>
        <v>-5.2057208608753376E-3</v>
      </c>
    </row>
    <row r="37" spans="1:27" x14ac:dyDescent="0.25">
      <c r="B37" t="s">
        <v>26</v>
      </c>
      <c r="C37">
        <v>-0.30487999999999998</v>
      </c>
      <c r="D37">
        <v>-0.40144600000000003</v>
      </c>
      <c r="E37">
        <v>0.10767599999999999</v>
      </c>
      <c r="F37">
        <v>0.43153900000000001</v>
      </c>
      <c r="G37">
        <f>0.09835+0.01475</f>
        <v>0.11310000000000001</v>
      </c>
      <c r="H37" s="3">
        <f>G37/1.15*Methane!S4</f>
        <v>4.473219017811679E-2</v>
      </c>
      <c r="I37" s="1">
        <f t="shared" si="0"/>
        <v>-9.2788098218832132E-3</v>
      </c>
      <c r="J37">
        <f>2.76274/5</f>
        <v>0.55254800000000004</v>
      </c>
      <c r="K37">
        <f t="shared" si="1"/>
        <v>-0.55177106785292851</v>
      </c>
      <c r="L37">
        <f t="shared" si="2"/>
        <v>-0.7265359751550996</v>
      </c>
      <c r="M37">
        <f t="shared" si="3"/>
        <v>0.19487175774774315</v>
      </c>
      <c r="N37">
        <f t="shared" si="4"/>
        <v>0.78099821192005037</v>
      </c>
      <c r="O37">
        <f t="shared" si="5"/>
        <v>0.20468809949542846</v>
      </c>
      <c r="P37">
        <f t="shared" si="6"/>
        <v>8.0956206841969899E-2</v>
      </c>
      <c r="Q37" s="1">
        <f t="shared" si="7"/>
        <v>-1.6792767002836148E-2</v>
      </c>
      <c r="R37">
        <f t="shared" si="8"/>
        <v>-0.30243707334023451</v>
      </c>
      <c r="S37">
        <f t="shared" si="9"/>
        <v>0.28564430633739835</v>
      </c>
      <c r="W37">
        <f>C37*OsloCTM2!AH37</f>
        <v>-4.4014575324675329E-3</v>
      </c>
      <c r="AA37">
        <f t="shared" si="10"/>
        <v>-7.9657469260001525E-3</v>
      </c>
    </row>
    <row r="38" spans="1:27" x14ac:dyDescent="0.25">
      <c r="B38" t="s">
        <v>27</v>
      </c>
      <c r="C38">
        <v>-0.17874300000000001</v>
      </c>
      <c r="D38">
        <v>-0.242947</v>
      </c>
      <c r="E38">
        <v>8.9332599999999998E-2</v>
      </c>
      <c r="F38">
        <v>0.33168300000000001</v>
      </c>
      <c r="G38">
        <f>0.21302+0.03195</f>
        <v>0.24496999999999999</v>
      </c>
      <c r="H38" s="3">
        <f>G38/1.15*Methane!S5</f>
        <v>9.2497712459412504E-2</v>
      </c>
      <c r="I38" s="1">
        <f t="shared" si="0"/>
        <v>0.33679331245941246</v>
      </c>
      <c r="J38">
        <f>4.21162/5</f>
        <v>0.84232399999999996</v>
      </c>
      <c r="K38">
        <f t="shared" si="1"/>
        <v>-0.21220219298037338</v>
      </c>
      <c r="L38">
        <f t="shared" si="2"/>
        <v>-0.28842464419866942</v>
      </c>
      <c r="M38">
        <f t="shared" si="3"/>
        <v>0.10605491473589736</v>
      </c>
      <c r="N38">
        <f t="shared" si="4"/>
        <v>0.39377128040991355</v>
      </c>
      <c r="O38">
        <f t="shared" si="5"/>
        <v>0.29082633286003962</v>
      </c>
      <c r="P38">
        <f t="shared" si="6"/>
        <v>0.10981250974614579</v>
      </c>
      <c r="Q38" s="1">
        <f t="shared" si="7"/>
        <v>0.39983820057295349</v>
      </c>
      <c r="R38">
        <f t="shared" si="8"/>
        <v>-8.0064203323187977E-4</v>
      </c>
      <c r="S38">
        <f t="shared" si="9"/>
        <v>0.40063884260618543</v>
      </c>
      <c r="W38">
        <f>C38*OsloCTM2!AH38</f>
        <v>5.0581455515433034E-2</v>
      </c>
      <c r="AA38">
        <f t="shared" si="10"/>
        <v>6.0049880468125136E-2</v>
      </c>
    </row>
    <row r="39" spans="1:27" x14ac:dyDescent="0.25">
      <c r="B39" t="s">
        <v>134</v>
      </c>
      <c r="C39">
        <v>-1.42669</v>
      </c>
      <c r="D39">
        <v>-4.7885999999999997</v>
      </c>
      <c r="E39">
        <v>0.35379500000000003</v>
      </c>
      <c r="F39">
        <v>1.4361299999999999</v>
      </c>
      <c r="G39">
        <f>1.16753+0.17513</f>
        <v>1.34266</v>
      </c>
      <c r="H39" s="3">
        <f>G39/1.15*Methane!S4</f>
        <v>0.53103556555747378</v>
      </c>
      <c r="I39" s="1">
        <f t="shared" si="0"/>
        <v>-2.5516694344425255</v>
      </c>
      <c r="J39">
        <f>20.38755/5</f>
        <v>4.0775100000000002</v>
      </c>
      <c r="K39">
        <f t="shared" si="1"/>
        <v>-0.34989245887808978</v>
      </c>
      <c r="L39">
        <f t="shared" si="2"/>
        <v>-1.1743931958474656</v>
      </c>
      <c r="M39">
        <f t="shared" si="3"/>
        <v>8.6767414426941941E-2</v>
      </c>
      <c r="N39">
        <f t="shared" si="4"/>
        <v>0.35220759728363632</v>
      </c>
      <c r="O39">
        <f t="shared" si="5"/>
        <v>0.3292842936007514</v>
      </c>
      <c r="P39">
        <f t="shared" si="6"/>
        <v>0.13023525768360439</v>
      </c>
      <c r="Q39" s="1">
        <f t="shared" si="7"/>
        <v>-0.62579109173062153</v>
      </c>
      <c r="R39">
        <f t="shared" si="8"/>
        <v>-1.0853106430149773</v>
      </c>
      <c r="S39">
        <f t="shared" si="9"/>
        <v>0.45951955128435579</v>
      </c>
      <c r="W39">
        <f>C39*OsloCTM2!AH39</f>
        <v>1.7152380334033566E-2</v>
      </c>
      <c r="AA39">
        <f t="shared" si="10"/>
        <v>4.2065820400277541E-3</v>
      </c>
    </row>
    <row r="40" spans="1:27" x14ac:dyDescent="0.25">
      <c r="B40" t="s">
        <v>135</v>
      </c>
      <c r="C40">
        <v>-1.38802</v>
      </c>
      <c r="D40">
        <v>-5.35053</v>
      </c>
      <c r="E40">
        <v>0.26221800000000001</v>
      </c>
      <c r="F40">
        <v>1.0371699999999999</v>
      </c>
      <c r="G40">
        <f>1.45755+0.28163</f>
        <v>1.7391799999999999</v>
      </c>
      <c r="H40" s="3">
        <f>G40/1.15*Methane!S5</f>
        <v>0.6566933565545211</v>
      </c>
      <c r="I40" s="1">
        <f t="shared" si="0"/>
        <v>-3.0432886434454791</v>
      </c>
      <c r="J40">
        <f>20.82875/5</f>
        <v>4.1657500000000001</v>
      </c>
      <c r="K40">
        <f t="shared" si="1"/>
        <v>-0.33319810358278823</v>
      </c>
      <c r="L40">
        <f t="shared" si="2"/>
        <v>-1.2844097701494328</v>
      </c>
      <c r="M40">
        <f t="shared" si="3"/>
        <v>6.2946168156994539E-2</v>
      </c>
      <c r="N40">
        <f t="shared" si="4"/>
        <v>0.24897557462641778</v>
      </c>
      <c r="O40">
        <f t="shared" si="5"/>
        <v>0.41749504891076034</v>
      </c>
      <c r="P40">
        <f t="shared" si="6"/>
        <v>0.15764108661213974</v>
      </c>
      <c r="Q40" s="1">
        <f t="shared" si="7"/>
        <v>-0.73054999542590882</v>
      </c>
      <c r="R40">
        <f t="shared" si="8"/>
        <v>-1.3056861309488088</v>
      </c>
      <c r="S40">
        <f t="shared" si="9"/>
        <v>0.5751361355229001</v>
      </c>
      <c r="W40">
        <f>C40*OsloCTM2!AH40</f>
        <v>5.7615968914696142E-2</v>
      </c>
      <c r="AA40">
        <f t="shared" si="10"/>
        <v>1.3830875332100135E-2</v>
      </c>
    </row>
    <row r="41" spans="1:27" x14ac:dyDescent="0.25">
      <c r="B41" t="s">
        <v>32</v>
      </c>
      <c r="I41" s="1">
        <f t="shared" si="0"/>
        <v>0</v>
      </c>
      <c r="J41">
        <f>1.04768/5</f>
        <v>0.209536</v>
      </c>
      <c r="K41">
        <f t="shared" si="1"/>
        <v>0</v>
      </c>
      <c r="L41">
        <f t="shared" si="2"/>
        <v>0</v>
      </c>
      <c r="M41">
        <f t="shared" si="3"/>
        <v>0</v>
      </c>
      <c r="N41">
        <f t="shared" si="4"/>
        <v>0</v>
      </c>
      <c r="O41">
        <f t="shared" si="5"/>
        <v>0</v>
      </c>
      <c r="P41">
        <f t="shared" si="6"/>
        <v>0</v>
      </c>
      <c r="Q41" s="1">
        <f t="shared" si="7"/>
        <v>0</v>
      </c>
      <c r="R41">
        <f t="shared" si="8"/>
        <v>0</v>
      </c>
      <c r="S41">
        <f t="shared" si="9"/>
        <v>0</v>
      </c>
      <c r="W41">
        <f>C41*OsloCTM2!AH41</f>
        <v>0</v>
      </c>
      <c r="AA41">
        <f t="shared" si="10"/>
        <v>0</v>
      </c>
    </row>
    <row r="42" spans="1:27" x14ac:dyDescent="0.25">
      <c r="B42" t="s">
        <v>33</v>
      </c>
      <c r="I42" s="1">
        <f t="shared" si="0"/>
        <v>0</v>
      </c>
      <c r="J42">
        <f>1.04768/5</f>
        <v>0.209536</v>
      </c>
      <c r="K42">
        <f t="shared" si="1"/>
        <v>0</v>
      </c>
      <c r="L42">
        <f t="shared" si="2"/>
        <v>0</v>
      </c>
      <c r="M42">
        <f t="shared" si="3"/>
        <v>0</v>
      </c>
      <c r="N42">
        <f t="shared" si="4"/>
        <v>0</v>
      </c>
      <c r="O42">
        <f t="shared" si="5"/>
        <v>0</v>
      </c>
      <c r="P42">
        <f t="shared" si="6"/>
        <v>0</v>
      </c>
      <c r="Q42" s="1">
        <f t="shared" si="7"/>
        <v>0</v>
      </c>
      <c r="R42">
        <f t="shared" si="8"/>
        <v>0</v>
      </c>
      <c r="S42">
        <f t="shared" si="9"/>
        <v>0</v>
      </c>
      <c r="W42">
        <f>C42*OsloCTM2!AH42</f>
        <v>0</v>
      </c>
      <c r="AA42">
        <f t="shared" si="10"/>
        <v>0</v>
      </c>
    </row>
    <row r="43" spans="1:27" x14ac:dyDescent="0.25">
      <c r="B43" t="s">
        <v>28</v>
      </c>
      <c r="C43">
        <f>C35+C37+C39</f>
        <v>-1.73014362</v>
      </c>
      <c r="D43">
        <f t="shared" ref="D43:H43" si="45">D35+D37+D39</f>
        <v>-5.1799013999999994</v>
      </c>
      <c r="E43">
        <f t="shared" si="45"/>
        <v>0.48011490000000001</v>
      </c>
      <c r="F43">
        <f t="shared" si="45"/>
        <v>1.9252615</v>
      </c>
      <c r="G43">
        <f t="shared" si="45"/>
        <v>1.56613</v>
      </c>
      <c r="H43">
        <f t="shared" si="45"/>
        <v>0.61942020339216664</v>
      </c>
      <c r="I43" s="1">
        <f t="shared" si="0"/>
        <v>-2.3191184166078318</v>
      </c>
      <c r="J43">
        <f>J35+J37+J39</f>
        <v>4.9114180000000003</v>
      </c>
      <c r="K43">
        <f t="shared" ref="K43:K44" si="46">C43/J43</f>
        <v>-0.35226967446061402</v>
      </c>
      <c r="L43">
        <f t="shared" ref="L43:L44" si="47">D43/J43</f>
        <v>-1.05466514965739</v>
      </c>
      <c r="M43">
        <f t="shared" ref="M43:M44" si="48">E43/J43</f>
        <v>9.7754843916767004E-2</v>
      </c>
      <c r="N43">
        <f t="shared" ref="N43:N44" si="49">F43/J43</f>
        <v>0.39199707701523262</v>
      </c>
      <c r="O43">
        <f t="shared" ref="O43:O44" si="50">G43/J43</f>
        <v>0.31887532276829217</v>
      </c>
      <c r="P43">
        <f t="shared" ref="P43:P44" si="51">H43/J43</f>
        <v>0.12611840478496569</v>
      </c>
      <c r="Q43" s="1">
        <f t="shared" ref="Q43:Q44" si="52">SUM(K43:P43)</f>
        <v>-0.47218917563274654</v>
      </c>
      <c r="R43">
        <f t="shared" ref="R43:R44" si="53">SUM(K43:N43)</f>
        <v>-0.91718290318600437</v>
      </c>
      <c r="S43">
        <f t="shared" ref="S43:S44" si="54">SUM(O43:P43)</f>
        <v>0.44499372755325783</v>
      </c>
      <c r="W43">
        <f>C43*OsloCTM2!AH43</f>
        <v>1.5581026100002122E-2</v>
      </c>
      <c r="AA43">
        <f t="shared" ref="AA43:AA44" si="55">W43/J43</f>
        <v>3.1724088847665016E-3</v>
      </c>
    </row>
    <row r="44" spans="1:27" x14ac:dyDescent="0.25">
      <c r="B44" t="s">
        <v>29</v>
      </c>
      <c r="C44">
        <f>C36+C38+C40</f>
        <v>-1.5901618</v>
      </c>
      <c r="D44">
        <f t="shared" ref="D44:H44" si="56">D36+D38+D40</f>
        <v>-5.6489545999999997</v>
      </c>
      <c r="E44">
        <f t="shared" si="56"/>
        <v>0.37439149999999999</v>
      </c>
      <c r="F44">
        <f t="shared" si="56"/>
        <v>1.4439236</v>
      </c>
      <c r="G44">
        <f t="shared" si="56"/>
        <v>2.0878700000000001</v>
      </c>
      <c r="H44">
        <f t="shared" si="56"/>
        <v>0.78835448794804908</v>
      </c>
      <c r="I44" s="1">
        <f t="shared" si="0"/>
        <v>-2.5445768120519507</v>
      </c>
      <c r="J44">
        <f>J36+J38+J40</f>
        <v>5.3703440000000002</v>
      </c>
      <c r="K44">
        <f t="shared" si="46"/>
        <v>-0.29610054774889649</v>
      </c>
      <c r="L44">
        <f t="shared" si="47"/>
        <v>-1.0518794699185006</v>
      </c>
      <c r="M44">
        <f t="shared" si="48"/>
        <v>6.9714621633176571E-2</v>
      </c>
      <c r="N44">
        <f t="shared" si="49"/>
        <v>0.26886985265748337</v>
      </c>
      <c r="O44">
        <f t="shared" si="50"/>
        <v>0.38877770213602703</v>
      </c>
      <c r="P44">
        <f t="shared" si="51"/>
        <v>0.14679776341106809</v>
      </c>
      <c r="Q44" s="1">
        <f t="shared" si="52"/>
        <v>-0.47382007782964208</v>
      </c>
      <c r="R44">
        <f t="shared" si="53"/>
        <v>-1.0093955433767372</v>
      </c>
      <c r="S44">
        <f t="shared" si="54"/>
        <v>0.53557546554709512</v>
      </c>
      <c r="W44">
        <f>C44*OsloCTM2!AH44</f>
        <v>0.10591860272833629</v>
      </c>
      <c r="AA44">
        <f t="shared" si="55"/>
        <v>1.9722871147236806E-2</v>
      </c>
    </row>
    <row r="45" spans="1:27" x14ac:dyDescent="0.25">
      <c r="A45" t="s">
        <v>37</v>
      </c>
      <c r="B45" t="s">
        <v>24</v>
      </c>
      <c r="C45">
        <v>1.4276899999999999</v>
      </c>
      <c r="D45">
        <v>0.16175600000000001</v>
      </c>
      <c r="I45" s="1">
        <f t="shared" ref="I45:I76" si="57">SUM(C45:H45)</f>
        <v>1.5894459999999999</v>
      </c>
      <c r="J45">
        <f>0.15893/5</f>
        <v>3.1785999999999995E-2</v>
      </c>
      <c r="K45">
        <f t="shared" si="1"/>
        <v>44.915686151135723</v>
      </c>
      <c r="L45">
        <f t="shared" si="2"/>
        <v>5.0889070660039026</v>
      </c>
      <c r="M45">
        <f t="shared" si="3"/>
        <v>0</v>
      </c>
      <c r="N45">
        <f t="shared" si="4"/>
        <v>0</v>
      </c>
      <c r="O45">
        <f t="shared" si="5"/>
        <v>0</v>
      </c>
      <c r="P45">
        <f t="shared" si="6"/>
        <v>0</v>
      </c>
      <c r="Q45" s="1">
        <f t="shared" si="7"/>
        <v>50.004593217139629</v>
      </c>
      <c r="R45">
        <f t="shared" si="8"/>
        <v>50.004593217139629</v>
      </c>
      <c r="S45">
        <f t="shared" si="9"/>
        <v>0</v>
      </c>
      <c r="W45">
        <f>C45*OsloCTM2!AH45</f>
        <v>0</v>
      </c>
      <c r="AA45">
        <f t="shared" si="10"/>
        <v>0</v>
      </c>
    </row>
    <row r="46" spans="1:27" x14ac:dyDescent="0.25">
      <c r="A46" t="s">
        <v>36</v>
      </c>
      <c r="B46" t="s">
        <v>25</v>
      </c>
      <c r="C46">
        <v>0.438527</v>
      </c>
      <c r="D46">
        <v>2.09389E-2</v>
      </c>
      <c r="I46" s="1">
        <f t="shared" si="57"/>
        <v>0.45946589999999998</v>
      </c>
      <c r="J46">
        <f>0.23802/5</f>
        <v>4.7604E-2</v>
      </c>
      <c r="K46">
        <f t="shared" si="1"/>
        <v>9.2119779850432728</v>
      </c>
      <c r="L46">
        <f t="shared" si="2"/>
        <v>0.43985589446265017</v>
      </c>
      <c r="M46">
        <f t="shared" si="3"/>
        <v>0</v>
      </c>
      <c r="N46">
        <f t="shared" si="4"/>
        <v>0</v>
      </c>
      <c r="O46">
        <f t="shared" si="5"/>
        <v>0</v>
      </c>
      <c r="P46">
        <f t="shared" si="6"/>
        <v>0</v>
      </c>
      <c r="Q46" s="1">
        <f t="shared" si="7"/>
        <v>9.6518338795059222</v>
      </c>
      <c r="R46">
        <f t="shared" si="8"/>
        <v>9.6518338795059222</v>
      </c>
      <c r="S46">
        <f t="shared" si="9"/>
        <v>0</v>
      </c>
      <c r="W46">
        <f>C46*OsloCTM2!AH46</f>
        <v>0</v>
      </c>
      <c r="AA46">
        <f t="shared" si="10"/>
        <v>0</v>
      </c>
    </row>
    <row r="47" spans="1:27" x14ac:dyDescent="0.25">
      <c r="B47" t="s">
        <v>26</v>
      </c>
      <c r="C47">
        <v>6.6213600000000001</v>
      </c>
      <c r="D47">
        <v>1.1907300000000001</v>
      </c>
      <c r="I47" s="1">
        <f t="shared" si="57"/>
        <v>7.8120900000000004</v>
      </c>
      <c r="J47">
        <f>0.54366/5</f>
        <v>0.10873200000000001</v>
      </c>
      <c r="K47">
        <f t="shared" si="1"/>
        <v>60.896148327999114</v>
      </c>
      <c r="L47">
        <f t="shared" si="2"/>
        <v>10.95105396755325</v>
      </c>
      <c r="M47">
        <f t="shared" si="3"/>
        <v>0</v>
      </c>
      <c r="N47">
        <f t="shared" si="4"/>
        <v>0</v>
      </c>
      <c r="O47">
        <f t="shared" si="5"/>
        <v>0</v>
      </c>
      <c r="P47">
        <f t="shared" si="6"/>
        <v>0</v>
      </c>
      <c r="Q47" s="1">
        <f t="shared" si="7"/>
        <v>71.847202295552364</v>
      </c>
      <c r="R47">
        <f t="shared" si="8"/>
        <v>71.847202295552364</v>
      </c>
      <c r="S47">
        <f t="shared" si="9"/>
        <v>0</v>
      </c>
      <c r="W47">
        <f>C47*OsloCTM2!AH47</f>
        <v>0</v>
      </c>
      <c r="AA47">
        <f t="shared" si="10"/>
        <v>0</v>
      </c>
    </row>
    <row r="48" spans="1:27" x14ac:dyDescent="0.25">
      <c r="B48" t="s">
        <v>27</v>
      </c>
      <c r="C48">
        <v>3.3036099999999999</v>
      </c>
      <c r="D48">
        <v>0.440639</v>
      </c>
      <c r="I48" s="1">
        <f t="shared" si="57"/>
        <v>3.7442489999999999</v>
      </c>
      <c r="J48">
        <f>0.88741/5</f>
        <v>0.177482</v>
      </c>
      <c r="K48">
        <f t="shared" si="1"/>
        <v>18.613774918019857</v>
      </c>
      <c r="L48">
        <f t="shared" si="2"/>
        <v>2.4827250087332802</v>
      </c>
      <c r="M48">
        <f t="shared" si="3"/>
        <v>0</v>
      </c>
      <c r="N48">
        <f t="shared" si="4"/>
        <v>0</v>
      </c>
      <c r="O48">
        <f t="shared" si="5"/>
        <v>0</v>
      </c>
      <c r="P48">
        <f t="shared" si="6"/>
        <v>0</v>
      </c>
      <c r="Q48" s="1">
        <f t="shared" si="7"/>
        <v>21.096499926753136</v>
      </c>
      <c r="R48">
        <f t="shared" si="8"/>
        <v>21.096499926753136</v>
      </c>
      <c r="S48">
        <f t="shared" si="9"/>
        <v>0</v>
      </c>
      <c r="W48">
        <f>C48*OsloCTM2!AH48</f>
        <v>0</v>
      </c>
      <c r="AA48">
        <f t="shared" si="10"/>
        <v>0</v>
      </c>
    </row>
    <row r="49" spans="1:27" x14ac:dyDescent="0.25">
      <c r="B49" t="s">
        <v>134</v>
      </c>
      <c r="C49">
        <v>35.245100000000001</v>
      </c>
      <c r="D49">
        <v>8.3127899999999997</v>
      </c>
      <c r="I49" s="1">
        <f t="shared" si="57"/>
        <v>43.55789</v>
      </c>
      <c r="J49">
        <f>1.71284/5</f>
        <v>0.34256799999999998</v>
      </c>
      <c r="K49">
        <f t="shared" si="1"/>
        <v>102.88497466196493</v>
      </c>
      <c r="L49">
        <f t="shared" si="2"/>
        <v>24.266101912612971</v>
      </c>
      <c r="M49">
        <f t="shared" si="3"/>
        <v>0</v>
      </c>
      <c r="N49">
        <f t="shared" si="4"/>
        <v>0</v>
      </c>
      <c r="O49">
        <f t="shared" si="5"/>
        <v>0</v>
      </c>
      <c r="P49">
        <f t="shared" si="6"/>
        <v>0</v>
      </c>
      <c r="Q49" s="1">
        <f t="shared" si="7"/>
        <v>127.1510765745779</v>
      </c>
      <c r="R49">
        <f t="shared" si="8"/>
        <v>127.1510765745779</v>
      </c>
      <c r="S49">
        <f t="shared" si="9"/>
        <v>0</v>
      </c>
      <c r="W49">
        <f>C49*OsloCTM2!AH49</f>
        <v>0</v>
      </c>
      <c r="AA49">
        <f t="shared" si="10"/>
        <v>0</v>
      </c>
    </row>
    <row r="50" spans="1:27" x14ac:dyDescent="0.25">
      <c r="B50" t="s">
        <v>135</v>
      </c>
      <c r="C50">
        <v>31.031400000000001</v>
      </c>
      <c r="D50">
        <v>7.2839999999999998</v>
      </c>
      <c r="I50" s="1">
        <f t="shared" si="57"/>
        <v>38.315400000000004</v>
      </c>
      <c r="J50">
        <f>1.78743/5</f>
        <v>0.35748600000000003</v>
      </c>
      <c r="K50">
        <f t="shared" si="1"/>
        <v>86.804518218895282</v>
      </c>
      <c r="L50">
        <f t="shared" si="2"/>
        <v>20.375623101324244</v>
      </c>
      <c r="M50">
        <f t="shared" si="3"/>
        <v>0</v>
      </c>
      <c r="N50">
        <f t="shared" si="4"/>
        <v>0</v>
      </c>
      <c r="O50">
        <f t="shared" si="5"/>
        <v>0</v>
      </c>
      <c r="P50">
        <f t="shared" si="6"/>
        <v>0</v>
      </c>
      <c r="Q50" s="1">
        <f t="shared" si="7"/>
        <v>107.18014132021952</v>
      </c>
      <c r="R50">
        <f t="shared" si="8"/>
        <v>107.18014132021952</v>
      </c>
      <c r="S50">
        <f t="shared" si="9"/>
        <v>0</v>
      </c>
      <c r="W50">
        <f>C50*OsloCTM2!AH50</f>
        <v>0</v>
      </c>
      <c r="AA50">
        <f t="shared" si="10"/>
        <v>0</v>
      </c>
    </row>
    <row r="51" spans="1:27" x14ac:dyDescent="0.25">
      <c r="B51" t="s">
        <v>32</v>
      </c>
      <c r="I51" s="1">
        <f t="shared" si="57"/>
        <v>0</v>
      </c>
      <c r="J51">
        <f>0.06082/5</f>
        <v>1.2163999999999999E-2</v>
      </c>
      <c r="K51">
        <f t="shared" si="1"/>
        <v>0</v>
      </c>
      <c r="L51">
        <f t="shared" si="2"/>
        <v>0</v>
      </c>
      <c r="M51">
        <f t="shared" si="3"/>
        <v>0</v>
      </c>
      <c r="N51">
        <f t="shared" si="4"/>
        <v>0</v>
      </c>
      <c r="O51">
        <f t="shared" si="5"/>
        <v>0</v>
      </c>
      <c r="P51">
        <f t="shared" si="6"/>
        <v>0</v>
      </c>
      <c r="Q51" s="1">
        <f t="shared" si="7"/>
        <v>0</v>
      </c>
      <c r="R51">
        <f t="shared" si="8"/>
        <v>0</v>
      </c>
      <c r="S51">
        <f t="shared" si="9"/>
        <v>0</v>
      </c>
      <c r="W51">
        <f>C51*OsloCTM2!AH51</f>
        <v>0</v>
      </c>
      <c r="AA51">
        <f t="shared" si="10"/>
        <v>0</v>
      </c>
    </row>
    <row r="52" spans="1:27" x14ac:dyDescent="0.25">
      <c r="B52" t="s">
        <v>33</v>
      </c>
      <c r="I52" s="1">
        <f t="shared" si="57"/>
        <v>0</v>
      </c>
      <c r="J52">
        <f>0.06098/5</f>
        <v>1.2196E-2</v>
      </c>
      <c r="K52">
        <f t="shared" si="1"/>
        <v>0</v>
      </c>
      <c r="L52">
        <f t="shared" si="2"/>
        <v>0</v>
      </c>
      <c r="M52">
        <f t="shared" si="3"/>
        <v>0</v>
      </c>
      <c r="N52">
        <f t="shared" si="4"/>
        <v>0</v>
      </c>
      <c r="O52">
        <f t="shared" si="5"/>
        <v>0</v>
      </c>
      <c r="P52">
        <f t="shared" si="6"/>
        <v>0</v>
      </c>
      <c r="Q52" s="1">
        <f t="shared" si="7"/>
        <v>0</v>
      </c>
      <c r="R52">
        <f t="shared" si="8"/>
        <v>0</v>
      </c>
      <c r="S52">
        <f t="shared" si="9"/>
        <v>0</v>
      </c>
      <c r="W52">
        <f>C52*OsloCTM2!AH52</f>
        <v>0</v>
      </c>
      <c r="AA52">
        <f t="shared" si="10"/>
        <v>0</v>
      </c>
    </row>
    <row r="53" spans="1:27" x14ac:dyDescent="0.25">
      <c r="B53" t="s">
        <v>28</v>
      </c>
      <c r="C53">
        <f>C45+C47+C49</f>
        <v>43.294150000000002</v>
      </c>
      <c r="D53">
        <f>D45+D47+D49</f>
        <v>9.6652760000000004</v>
      </c>
      <c r="I53" s="1">
        <f t="shared" si="57"/>
        <v>52.959426000000001</v>
      </c>
      <c r="J53">
        <f>J45+J47+J49</f>
        <v>0.48308600000000002</v>
      </c>
      <c r="K53">
        <f t="shared" ref="K53:K54" si="58">C53/J53</f>
        <v>89.619964147170478</v>
      </c>
      <c r="L53">
        <f t="shared" ref="L53:L54" si="59">D53/J53</f>
        <v>20.00736100818488</v>
      </c>
      <c r="M53">
        <f t="shared" ref="M53:M54" si="60">E53/J53</f>
        <v>0</v>
      </c>
      <c r="N53">
        <f t="shared" ref="N53:N54" si="61">F53/J53</f>
        <v>0</v>
      </c>
      <c r="O53">
        <f t="shared" ref="O53:O54" si="62">G53/J53</f>
        <v>0</v>
      </c>
      <c r="P53">
        <f t="shared" ref="P53:P54" si="63">H53/J53</f>
        <v>0</v>
      </c>
      <c r="Q53" s="1">
        <f t="shared" ref="Q53:Q54" si="64">SUM(K53:P53)</f>
        <v>109.62732515535535</v>
      </c>
      <c r="R53">
        <f t="shared" ref="R53:R54" si="65">SUM(K53:N53)</f>
        <v>109.62732515535535</v>
      </c>
      <c r="S53">
        <f t="shared" ref="S53:S54" si="66">SUM(O53:P53)</f>
        <v>0</v>
      </c>
      <c r="W53">
        <f>C53*OsloCTM2!AH53</f>
        <v>0</v>
      </c>
      <c r="AA53">
        <f t="shared" ref="AA53:AA54" si="67">W53/J53</f>
        <v>0</v>
      </c>
    </row>
    <row r="54" spans="1:27" x14ac:dyDescent="0.25">
      <c r="B54" t="s">
        <v>29</v>
      </c>
      <c r="C54">
        <f>C46+C48+C50</f>
        <v>34.773537000000005</v>
      </c>
      <c r="D54">
        <f>D46+D48+D50</f>
        <v>7.7455778999999998</v>
      </c>
      <c r="I54" s="1">
        <f t="shared" si="57"/>
        <v>42.519114900000005</v>
      </c>
      <c r="J54">
        <f>J46+J48+J50</f>
        <v>0.58257200000000009</v>
      </c>
      <c r="K54">
        <f t="shared" si="58"/>
        <v>59.689681275447498</v>
      </c>
      <c r="L54">
        <f t="shared" si="59"/>
        <v>13.29548605150951</v>
      </c>
      <c r="M54">
        <f t="shared" si="60"/>
        <v>0</v>
      </c>
      <c r="N54">
        <f t="shared" si="61"/>
        <v>0</v>
      </c>
      <c r="O54">
        <f t="shared" si="62"/>
        <v>0</v>
      </c>
      <c r="P54">
        <f t="shared" si="63"/>
        <v>0</v>
      </c>
      <c r="Q54" s="1">
        <f t="shared" si="64"/>
        <v>72.985167326957011</v>
      </c>
      <c r="R54">
        <f t="shared" si="65"/>
        <v>72.985167326957011</v>
      </c>
      <c r="S54">
        <f t="shared" si="66"/>
        <v>0</v>
      </c>
      <c r="W54">
        <f>C54*OsloCTM2!AH54</f>
        <v>0</v>
      </c>
      <c r="AA54">
        <f t="shared" si="67"/>
        <v>0</v>
      </c>
    </row>
    <row r="55" spans="1:27" x14ac:dyDescent="0.25">
      <c r="A55" t="s">
        <v>38</v>
      </c>
      <c r="B55" t="s">
        <v>24</v>
      </c>
      <c r="C55">
        <v>-0.12531999999999999</v>
      </c>
      <c r="D55">
        <v>-0.49997599999999998</v>
      </c>
      <c r="I55" s="1">
        <f t="shared" si="57"/>
        <v>-0.62529599999999996</v>
      </c>
      <c r="J55">
        <f>0.27972/5/A58</f>
        <v>3.9960000000000009E-2</v>
      </c>
      <c r="K55">
        <f t="shared" si="1"/>
        <v>-3.1361361361361353</v>
      </c>
      <c r="L55">
        <f t="shared" si="2"/>
        <v>-12.511911911911909</v>
      </c>
      <c r="M55">
        <f t="shared" si="3"/>
        <v>0</v>
      </c>
      <c r="N55">
        <f t="shared" si="4"/>
        <v>0</v>
      </c>
      <c r="O55">
        <f t="shared" si="5"/>
        <v>0</v>
      </c>
      <c r="P55">
        <f t="shared" si="6"/>
        <v>0</v>
      </c>
      <c r="Q55" s="1">
        <f t="shared" si="7"/>
        <v>-15.648048048048045</v>
      </c>
      <c r="R55">
        <f t="shared" si="8"/>
        <v>-15.648048048048045</v>
      </c>
      <c r="S55">
        <f t="shared" si="9"/>
        <v>0</v>
      </c>
      <c r="W55">
        <f>C55*OsloCTM2!AH55</f>
        <v>0</v>
      </c>
      <c r="AA55">
        <f t="shared" si="10"/>
        <v>0</v>
      </c>
    </row>
    <row r="56" spans="1:27" x14ac:dyDescent="0.25">
      <c r="A56" t="s">
        <v>36</v>
      </c>
      <c r="B56" t="s">
        <v>25</v>
      </c>
      <c r="C56">
        <v>-2.9477199999999999E-2</v>
      </c>
      <c r="D56">
        <v>-8.5907600000000001E-2</v>
      </c>
      <c r="I56" s="1">
        <f t="shared" si="57"/>
        <v>-0.1153848</v>
      </c>
      <c r="J56">
        <f>0.45876/5/A58</f>
        <v>6.5537142857142863E-2</v>
      </c>
      <c r="K56">
        <f t="shared" si="1"/>
        <v>-0.44977853343796315</v>
      </c>
      <c r="L56">
        <f t="shared" si="2"/>
        <v>-1.31082308832505</v>
      </c>
      <c r="M56">
        <f t="shared" si="3"/>
        <v>0</v>
      </c>
      <c r="N56">
        <f t="shared" si="4"/>
        <v>0</v>
      </c>
      <c r="O56">
        <f t="shared" si="5"/>
        <v>0</v>
      </c>
      <c r="P56">
        <f t="shared" si="6"/>
        <v>0</v>
      </c>
      <c r="Q56" s="1">
        <f t="shared" si="7"/>
        <v>-1.7606016217630132</v>
      </c>
      <c r="R56">
        <f t="shared" si="8"/>
        <v>-1.7606016217630132</v>
      </c>
      <c r="S56">
        <f t="shared" si="9"/>
        <v>0</v>
      </c>
      <c r="W56">
        <f>C56*OsloCTM2!AH56</f>
        <v>0</v>
      </c>
      <c r="AA56">
        <f t="shared" si="10"/>
        <v>0</v>
      </c>
    </row>
    <row r="57" spans="1:27" x14ac:dyDescent="0.25">
      <c r="A57" t="s">
        <v>54</v>
      </c>
      <c r="B57" t="s">
        <v>26</v>
      </c>
      <c r="C57">
        <v>-1.04409</v>
      </c>
      <c r="D57">
        <v>-2.5679500000000002</v>
      </c>
      <c r="I57" s="1">
        <f t="shared" si="57"/>
        <v>-3.6120400000000004</v>
      </c>
      <c r="J57">
        <f>1.48346/5/A58</f>
        <v>0.21192285714285716</v>
      </c>
      <c r="K57">
        <f t="shared" si="1"/>
        <v>-4.9267455812762053</v>
      </c>
      <c r="L57">
        <f t="shared" si="2"/>
        <v>-12.117380987690938</v>
      </c>
      <c r="M57">
        <f t="shared" si="3"/>
        <v>0</v>
      </c>
      <c r="N57">
        <f t="shared" si="4"/>
        <v>0</v>
      </c>
      <c r="O57">
        <f t="shared" si="5"/>
        <v>0</v>
      </c>
      <c r="P57">
        <f t="shared" si="6"/>
        <v>0</v>
      </c>
      <c r="Q57" s="1">
        <f t="shared" si="7"/>
        <v>-17.044126568967144</v>
      </c>
      <c r="R57">
        <f t="shared" si="8"/>
        <v>-17.044126568967144</v>
      </c>
      <c r="S57">
        <f t="shared" si="9"/>
        <v>0</v>
      </c>
      <c r="W57">
        <f>C57*OsloCTM2!AH57</f>
        <v>0</v>
      </c>
      <c r="AA57">
        <f t="shared" si="10"/>
        <v>0</v>
      </c>
    </row>
    <row r="58" spans="1:27" x14ac:dyDescent="0.25">
      <c r="A58">
        <v>1.4</v>
      </c>
      <c r="B58" t="s">
        <v>27</v>
      </c>
      <c r="C58">
        <v>-0.88111300000000004</v>
      </c>
      <c r="D58">
        <v>-2.16804</v>
      </c>
      <c r="I58" s="1">
        <f t="shared" si="57"/>
        <v>-3.049153</v>
      </c>
      <c r="J58">
        <f>2.57412/5/A58</f>
        <v>0.36773142857142865</v>
      </c>
      <c r="K58">
        <f t="shared" si="1"/>
        <v>-2.396077494444703</v>
      </c>
      <c r="L58">
        <f t="shared" si="2"/>
        <v>-5.8957158174444064</v>
      </c>
      <c r="M58">
        <f t="shared" si="3"/>
        <v>0</v>
      </c>
      <c r="N58">
        <f t="shared" si="4"/>
        <v>0</v>
      </c>
      <c r="O58">
        <f t="shared" si="5"/>
        <v>0</v>
      </c>
      <c r="P58">
        <f t="shared" si="6"/>
        <v>0</v>
      </c>
      <c r="Q58" s="1">
        <f t="shared" si="7"/>
        <v>-8.2917933118891085</v>
      </c>
      <c r="R58">
        <f t="shared" si="8"/>
        <v>-8.2917933118891085</v>
      </c>
      <c r="S58">
        <f t="shared" si="9"/>
        <v>0</v>
      </c>
      <c r="W58">
        <f>C58*OsloCTM2!AH58</f>
        <v>0</v>
      </c>
      <c r="AA58">
        <f t="shared" si="10"/>
        <v>0</v>
      </c>
    </row>
    <row r="59" spans="1:27" x14ac:dyDescent="0.25">
      <c r="B59" t="s">
        <v>134</v>
      </c>
      <c r="C59">
        <v>-7.6713899999999997</v>
      </c>
      <c r="D59">
        <v>-30.802499999999998</v>
      </c>
      <c r="I59" s="1">
        <f t="shared" si="57"/>
        <v>-38.473889999999997</v>
      </c>
      <c r="J59">
        <f>5.48792/5/A58</f>
        <v>0.78398857142857137</v>
      </c>
      <c r="K59">
        <f t="shared" si="1"/>
        <v>-9.7850788641233848</v>
      </c>
      <c r="L59">
        <f t="shared" si="2"/>
        <v>-39.289475794107787</v>
      </c>
      <c r="M59">
        <f t="shared" si="3"/>
        <v>0</v>
      </c>
      <c r="N59">
        <f t="shared" si="4"/>
        <v>0</v>
      </c>
      <c r="O59">
        <f t="shared" si="5"/>
        <v>0</v>
      </c>
      <c r="P59">
        <f t="shared" si="6"/>
        <v>0</v>
      </c>
      <c r="Q59" s="1">
        <f t="shared" si="7"/>
        <v>-49.074554658231172</v>
      </c>
      <c r="R59">
        <f t="shared" si="8"/>
        <v>-49.074554658231172</v>
      </c>
      <c r="S59">
        <f t="shared" si="9"/>
        <v>0</v>
      </c>
      <c r="W59">
        <f>C59*OsloCTM2!AH59</f>
        <v>0</v>
      </c>
      <c r="AA59">
        <f t="shared" si="10"/>
        <v>0</v>
      </c>
    </row>
    <row r="60" spans="1:27" x14ac:dyDescent="0.25">
      <c r="B60" t="s">
        <v>135</v>
      </c>
      <c r="C60">
        <v>-8.7891100000000009</v>
      </c>
      <c r="D60">
        <v>-31.116099999999999</v>
      </c>
      <c r="I60" s="1">
        <f t="shared" si="57"/>
        <v>-39.905209999999997</v>
      </c>
      <c r="J60">
        <f>5.74977/5/A58</f>
        <v>0.82139571428571423</v>
      </c>
      <c r="K60">
        <f t="shared" si="1"/>
        <v>-10.700214095520344</v>
      </c>
      <c r="L60">
        <f t="shared" si="2"/>
        <v>-37.881984844611175</v>
      </c>
      <c r="M60">
        <f t="shared" si="3"/>
        <v>0</v>
      </c>
      <c r="N60">
        <f t="shared" si="4"/>
        <v>0</v>
      </c>
      <c r="O60">
        <f t="shared" si="5"/>
        <v>0</v>
      </c>
      <c r="P60">
        <f t="shared" si="6"/>
        <v>0</v>
      </c>
      <c r="Q60" s="1">
        <f t="shared" si="7"/>
        <v>-48.582198940131519</v>
      </c>
      <c r="R60">
        <f t="shared" si="8"/>
        <v>-48.582198940131519</v>
      </c>
      <c r="S60">
        <f t="shared" si="9"/>
        <v>0</v>
      </c>
      <c r="W60">
        <f>C60*OsloCTM2!AH60</f>
        <v>0</v>
      </c>
      <c r="AA60">
        <f t="shared" si="10"/>
        <v>0</v>
      </c>
    </row>
    <row r="61" spans="1:27" x14ac:dyDescent="0.25">
      <c r="B61" t="s">
        <v>32</v>
      </c>
      <c r="I61" s="1">
        <f t="shared" si="57"/>
        <v>0</v>
      </c>
      <c r="J61">
        <f>0.089/5/A58</f>
        <v>1.2714285714285714E-2</v>
      </c>
      <c r="K61">
        <f t="shared" si="1"/>
        <v>0</v>
      </c>
      <c r="L61">
        <f t="shared" si="2"/>
        <v>0</v>
      </c>
      <c r="M61">
        <f t="shared" si="3"/>
        <v>0</v>
      </c>
      <c r="N61">
        <f t="shared" si="4"/>
        <v>0</v>
      </c>
      <c r="O61">
        <f t="shared" si="5"/>
        <v>0</v>
      </c>
      <c r="P61">
        <f t="shared" si="6"/>
        <v>0</v>
      </c>
      <c r="Q61" s="1">
        <f t="shared" si="7"/>
        <v>0</v>
      </c>
      <c r="R61">
        <f t="shared" si="8"/>
        <v>0</v>
      </c>
      <c r="S61">
        <f t="shared" si="9"/>
        <v>0</v>
      </c>
      <c r="W61">
        <f>C61*OsloCTM2!AH61</f>
        <v>0</v>
      </c>
      <c r="AA61">
        <f t="shared" si="10"/>
        <v>0</v>
      </c>
    </row>
    <row r="62" spans="1:27" x14ac:dyDescent="0.25">
      <c r="B62" t="s">
        <v>33</v>
      </c>
      <c r="I62" s="1">
        <f t="shared" si="57"/>
        <v>0</v>
      </c>
      <c r="J62">
        <f>0.08923/5/A58</f>
        <v>1.2747142857142858E-2</v>
      </c>
      <c r="K62">
        <f t="shared" si="1"/>
        <v>0</v>
      </c>
      <c r="L62">
        <f t="shared" si="2"/>
        <v>0</v>
      </c>
      <c r="M62">
        <f t="shared" si="3"/>
        <v>0</v>
      </c>
      <c r="N62">
        <f t="shared" si="4"/>
        <v>0</v>
      </c>
      <c r="O62">
        <f t="shared" si="5"/>
        <v>0</v>
      </c>
      <c r="P62">
        <f t="shared" si="6"/>
        <v>0</v>
      </c>
      <c r="Q62" s="1">
        <f t="shared" si="7"/>
        <v>0</v>
      </c>
      <c r="R62">
        <f t="shared" si="8"/>
        <v>0</v>
      </c>
      <c r="S62">
        <f t="shared" si="9"/>
        <v>0</v>
      </c>
      <c r="W62">
        <f>C62*OsloCTM2!AH62</f>
        <v>0</v>
      </c>
      <c r="AA62">
        <f t="shared" si="10"/>
        <v>0</v>
      </c>
    </row>
    <row r="63" spans="1:27" x14ac:dyDescent="0.25">
      <c r="B63" t="s">
        <v>28</v>
      </c>
      <c r="C63">
        <f>C55+C57+C59</f>
        <v>-8.8407999999999998</v>
      </c>
      <c r="D63">
        <f>D55+D57+D59</f>
        <v>-33.870425999999995</v>
      </c>
      <c r="I63" s="1">
        <f t="shared" si="57"/>
        <v>-42.711225999999996</v>
      </c>
      <c r="J63">
        <f>J55+J57+J59</f>
        <v>1.0358714285714286</v>
      </c>
      <c r="K63">
        <f t="shared" ref="K63:K64" si="68">C63/J63</f>
        <v>-8.5346499151852822</v>
      </c>
      <c r="L63">
        <f t="shared" ref="L63:L64" si="69">D63/J63</f>
        <v>-32.697519272937896</v>
      </c>
      <c r="M63">
        <f t="shared" ref="M63:M64" si="70">E63/J63</f>
        <v>0</v>
      </c>
      <c r="N63">
        <f t="shared" ref="N63:N64" si="71">F63/J63</f>
        <v>0</v>
      </c>
      <c r="O63">
        <f t="shared" ref="O63:O64" si="72">G63/J63</f>
        <v>0</v>
      </c>
      <c r="P63">
        <f t="shared" ref="P63:P64" si="73">H63/J63</f>
        <v>0</v>
      </c>
      <c r="Q63" s="1">
        <f t="shared" ref="Q63:Q64" si="74">SUM(K63:P63)</f>
        <v>-41.23216918812318</v>
      </c>
      <c r="R63">
        <f t="shared" ref="R63:R64" si="75">SUM(K63:N63)</f>
        <v>-41.23216918812318</v>
      </c>
      <c r="S63">
        <f t="shared" ref="S63:S64" si="76">SUM(O63:P63)</f>
        <v>0</v>
      </c>
      <c r="W63">
        <f>C63*OsloCTM2!AH63</f>
        <v>0</v>
      </c>
      <c r="AA63">
        <f t="shared" ref="AA63:AA64" si="77">W63/J63</f>
        <v>0</v>
      </c>
    </row>
    <row r="64" spans="1:27" x14ac:dyDescent="0.25">
      <c r="B64" t="s">
        <v>29</v>
      </c>
      <c r="C64">
        <f>C56+C58+C60</f>
        <v>-9.6997002000000005</v>
      </c>
      <c r="D64">
        <f>D56+D58+D60</f>
        <v>-33.370047599999999</v>
      </c>
      <c r="I64" s="1">
        <f t="shared" si="57"/>
        <v>-43.069747800000002</v>
      </c>
      <c r="J64">
        <f>J56+J58+J60</f>
        <v>1.2546642857142858</v>
      </c>
      <c r="K64">
        <f t="shared" si="68"/>
        <v>-7.7309128110536109</v>
      </c>
      <c r="L64">
        <f t="shared" si="69"/>
        <v>-26.59679404280029</v>
      </c>
      <c r="M64">
        <f t="shared" si="70"/>
        <v>0</v>
      </c>
      <c r="N64">
        <f t="shared" si="71"/>
        <v>0</v>
      </c>
      <c r="O64">
        <f t="shared" si="72"/>
        <v>0</v>
      </c>
      <c r="P64">
        <f t="shared" si="73"/>
        <v>0</v>
      </c>
      <c r="Q64" s="1">
        <f t="shared" si="74"/>
        <v>-34.327706853853904</v>
      </c>
      <c r="R64">
        <f t="shared" si="75"/>
        <v>-34.327706853853904</v>
      </c>
      <c r="S64">
        <f t="shared" si="76"/>
        <v>0</v>
      </c>
      <c r="W64">
        <f>C64*OsloCTM2!AH64</f>
        <v>0</v>
      </c>
      <c r="AA64">
        <f t="shared" si="77"/>
        <v>0</v>
      </c>
    </row>
    <row r="65" spans="1:27" x14ac:dyDescent="0.25">
      <c r="A65" t="s">
        <v>43</v>
      </c>
      <c r="B65" t="s">
        <v>24</v>
      </c>
      <c r="I65" s="1">
        <f t="shared" si="57"/>
        <v>0</v>
      </c>
      <c r="J65">
        <v>-999</v>
      </c>
      <c r="K65">
        <f t="shared" si="1"/>
        <v>0</v>
      </c>
      <c r="L65">
        <f t="shared" si="2"/>
        <v>0</v>
      </c>
      <c r="M65">
        <f t="shared" si="3"/>
        <v>0</v>
      </c>
      <c r="N65">
        <f t="shared" si="4"/>
        <v>0</v>
      </c>
      <c r="O65">
        <f t="shared" si="5"/>
        <v>0</v>
      </c>
      <c r="P65">
        <f t="shared" si="6"/>
        <v>0</v>
      </c>
      <c r="Q65" s="1">
        <f t="shared" si="7"/>
        <v>0</v>
      </c>
      <c r="R65">
        <f t="shared" si="8"/>
        <v>0</v>
      </c>
      <c r="S65">
        <f t="shared" si="9"/>
        <v>0</v>
      </c>
      <c r="W65">
        <f>C65*OsloCTM2!AH65</f>
        <v>0</v>
      </c>
      <c r="AA65">
        <f t="shared" si="10"/>
        <v>0</v>
      </c>
    </row>
    <row r="66" spans="1:27" x14ac:dyDescent="0.25">
      <c r="B66" t="s">
        <v>25</v>
      </c>
      <c r="I66" s="1">
        <f t="shared" si="57"/>
        <v>0</v>
      </c>
      <c r="J66">
        <v>-999</v>
      </c>
      <c r="K66">
        <f t="shared" si="1"/>
        <v>0</v>
      </c>
      <c r="L66">
        <f t="shared" si="2"/>
        <v>0</v>
      </c>
      <c r="M66">
        <f t="shared" si="3"/>
        <v>0</v>
      </c>
      <c r="N66">
        <f t="shared" si="4"/>
        <v>0</v>
      </c>
      <c r="O66">
        <f t="shared" si="5"/>
        <v>0</v>
      </c>
      <c r="P66">
        <f t="shared" si="6"/>
        <v>0</v>
      </c>
      <c r="Q66" s="1">
        <f t="shared" si="7"/>
        <v>0</v>
      </c>
      <c r="R66">
        <f t="shared" si="8"/>
        <v>0</v>
      </c>
      <c r="S66">
        <f t="shared" si="9"/>
        <v>0</v>
      </c>
      <c r="W66">
        <f>C66*OsloCTM2!AH66</f>
        <v>0</v>
      </c>
      <c r="AA66">
        <f t="shared" si="10"/>
        <v>0</v>
      </c>
    </row>
    <row r="67" spans="1:27" x14ac:dyDescent="0.25">
      <c r="B67" t="s">
        <v>26</v>
      </c>
      <c r="I67" s="1">
        <f t="shared" si="57"/>
        <v>0</v>
      </c>
      <c r="J67">
        <v>-999</v>
      </c>
      <c r="K67">
        <f t="shared" si="1"/>
        <v>0</v>
      </c>
      <c r="L67">
        <f t="shared" si="2"/>
        <v>0</v>
      </c>
      <c r="M67">
        <f t="shared" si="3"/>
        <v>0</v>
      </c>
      <c r="N67">
        <f t="shared" si="4"/>
        <v>0</v>
      </c>
      <c r="O67">
        <f t="shared" si="5"/>
        <v>0</v>
      </c>
      <c r="P67">
        <f t="shared" si="6"/>
        <v>0</v>
      </c>
      <c r="Q67" s="1">
        <f t="shared" si="7"/>
        <v>0</v>
      </c>
      <c r="R67">
        <f t="shared" si="8"/>
        <v>0</v>
      </c>
      <c r="S67">
        <f t="shared" si="9"/>
        <v>0</v>
      </c>
      <c r="W67">
        <f>C67*OsloCTM2!AH67</f>
        <v>0</v>
      </c>
      <c r="AA67">
        <f t="shared" si="10"/>
        <v>0</v>
      </c>
    </row>
    <row r="68" spans="1:27" x14ac:dyDescent="0.25">
      <c r="B68" t="s">
        <v>27</v>
      </c>
      <c r="I68" s="1">
        <f t="shared" si="57"/>
        <v>0</v>
      </c>
      <c r="J68">
        <v>-999</v>
      </c>
      <c r="K68">
        <f t="shared" si="1"/>
        <v>0</v>
      </c>
      <c r="L68">
        <f t="shared" si="2"/>
        <v>0</v>
      </c>
      <c r="M68">
        <f t="shared" si="3"/>
        <v>0</v>
      </c>
      <c r="N68">
        <f t="shared" si="4"/>
        <v>0</v>
      </c>
      <c r="O68">
        <f t="shared" si="5"/>
        <v>0</v>
      </c>
      <c r="P68">
        <f t="shared" si="6"/>
        <v>0</v>
      </c>
      <c r="Q68" s="1">
        <f t="shared" si="7"/>
        <v>0</v>
      </c>
      <c r="R68">
        <f t="shared" si="8"/>
        <v>0</v>
      </c>
      <c r="S68">
        <f t="shared" si="9"/>
        <v>0</v>
      </c>
      <c r="W68">
        <f>C68*OsloCTM2!AH68</f>
        <v>0</v>
      </c>
      <c r="AA68">
        <f t="shared" si="10"/>
        <v>0</v>
      </c>
    </row>
    <row r="69" spans="1:27" x14ac:dyDescent="0.25">
      <c r="B69" t="s">
        <v>134</v>
      </c>
      <c r="I69" s="1">
        <f t="shared" si="57"/>
        <v>0</v>
      </c>
      <c r="J69">
        <v>-999</v>
      </c>
      <c r="K69">
        <f t="shared" si="1"/>
        <v>0</v>
      </c>
      <c r="L69">
        <f t="shared" si="2"/>
        <v>0</v>
      </c>
      <c r="M69">
        <f t="shared" si="3"/>
        <v>0</v>
      </c>
      <c r="N69">
        <f t="shared" si="4"/>
        <v>0</v>
      </c>
      <c r="O69">
        <f t="shared" si="5"/>
        <v>0</v>
      </c>
      <c r="P69">
        <f t="shared" si="6"/>
        <v>0</v>
      </c>
      <c r="Q69" s="1">
        <f t="shared" si="7"/>
        <v>0</v>
      </c>
      <c r="R69">
        <f t="shared" si="8"/>
        <v>0</v>
      </c>
      <c r="S69">
        <f t="shared" si="9"/>
        <v>0</v>
      </c>
      <c r="W69">
        <f>C69*OsloCTM2!AH69</f>
        <v>0</v>
      </c>
      <c r="AA69">
        <f t="shared" si="10"/>
        <v>0</v>
      </c>
    </row>
    <row r="70" spans="1:27" x14ac:dyDescent="0.25">
      <c r="B70" t="s">
        <v>135</v>
      </c>
      <c r="I70" s="1">
        <f t="shared" si="57"/>
        <v>0</v>
      </c>
      <c r="J70">
        <v>-999</v>
      </c>
      <c r="K70">
        <f t="shared" si="1"/>
        <v>0</v>
      </c>
      <c r="L70">
        <f t="shared" si="2"/>
        <v>0</v>
      </c>
      <c r="M70">
        <f t="shared" si="3"/>
        <v>0</v>
      </c>
      <c r="N70">
        <f t="shared" si="4"/>
        <v>0</v>
      </c>
      <c r="O70">
        <f t="shared" si="5"/>
        <v>0</v>
      </c>
      <c r="P70">
        <f t="shared" si="6"/>
        <v>0</v>
      </c>
      <c r="Q70" s="1">
        <f t="shared" si="7"/>
        <v>0</v>
      </c>
      <c r="R70">
        <f t="shared" si="8"/>
        <v>0</v>
      </c>
      <c r="S70">
        <f t="shared" si="9"/>
        <v>0</v>
      </c>
      <c r="W70">
        <f>C70*OsloCTM2!AH70</f>
        <v>0</v>
      </c>
      <c r="AA70">
        <f t="shared" si="10"/>
        <v>0</v>
      </c>
    </row>
    <row r="71" spans="1:27" x14ac:dyDescent="0.25">
      <c r="B71" t="s">
        <v>28</v>
      </c>
      <c r="I71" s="1">
        <f t="shared" ref="I71:I72" si="78">SUM(C71:H71)</f>
        <v>0</v>
      </c>
      <c r="J71">
        <v>-999</v>
      </c>
      <c r="K71">
        <f t="shared" ref="K71:K72" si="79">C71/J71</f>
        <v>0</v>
      </c>
      <c r="L71">
        <f t="shared" ref="L71:L72" si="80">D71/J71</f>
        <v>0</v>
      </c>
      <c r="M71">
        <f t="shared" ref="M71:M72" si="81">E71/J71</f>
        <v>0</v>
      </c>
      <c r="N71">
        <f t="shared" ref="N71:N72" si="82">F71/J71</f>
        <v>0</v>
      </c>
      <c r="O71">
        <f t="shared" ref="O71:O72" si="83">G71/J71</f>
        <v>0</v>
      </c>
      <c r="P71">
        <f t="shared" ref="P71:P72" si="84">H71/J71</f>
        <v>0</v>
      </c>
      <c r="Q71" s="1">
        <f t="shared" ref="Q71:Q72" si="85">SUM(K71:P71)</f>
        <v>0</v>
      </c>
      <c r="R71">
        <f t="shared" ref="R71:R72" si="86">SUM(K71:N71)</f>
        <v>0</v>
      </c>
      <c r="S71">
        <f t="shared" ref="S71:S72" si="87">SUM(O71:P71)</f>
        <v>0</v>
      </c>
      <c r="W71">
        <f>C71*OsloCTM2!AH71</f>
        <v>0</v>
      </c>
      <c r="AA71">
        <f t="shared" ref="AA71:AA72" si="88">W71/J71</f>
        <v>0</v>
      </c>
    </row>
    <row r="72" spans="1:27" x14ac:dyDescent="0.25">
      <c r="B72" t="s">
        <v>29</v>
      </c>
      <c r="I72" s="1">
        <f t="shared" si="78"/>
        <v>0</v>
      </c>
      <c r="J72">
        <v>-999</v>
      </c>
      <c r="K72">
        <f t="shared" si="79"/>
        <v>0</v>
      </c>
      <c r="L72">
        <f t="shared" si="80"/>
        <v>0</v>
      </c>
      <c r="M72">
        <f t="shared" si="81"/>
        <v>0</v>
      </c>
      <c r="N72">
        <f t="shared" si="82"/>
        <v>0</v>
      </c>
      <c r="O72">
        <f t="shared" si="83"/>
        <v>0</v>
      </c>
      <c r="P72">
        <f t="shared" si="84"/>
        <v>0</v>
      </c>
      <c r="Q72" s="1">
        <f t="shared" si="85"/>
        <v>0</v>
      </c>
      <c r="R72">
        <f t="shared" si="86"/>
        <v>0</v>
      </c>
      <c r="S72">
        <f t="shared" si="87"/>
        <v>0</v>
      </c>
      <c r="W72">
        <f>C72*OsloCTM2!AH72</f>
        <v>0</v>
      </c>
      <c r="AA72">
        <f t="shared" si="88"/>
        <v>0</v>
      </c>
    </row>
    <row r="73" spans="1:27" x14ac:dyDescent="0.25">
      <c r="A73" t="s">
        <v>44</v>
      </c>
      <c r="B73" t="s">
        <v>32</v>
      </c>
      <c r="C73">
        <v>-2.7103299999999999</v>
      </c>
      <c r="D73">
        <v>-11.909800000000001</v>
      </c>
      <c r="E73">
        <v>0.83538900000000005</v>
      </c>
      <c r="F73">
        <v>2.7575599999999998</v>
      </c>
      <c r="G73">
        <f>-3.72015-0.55802</f>
        <v>-4.2781699999999994</v>
      </c>
      <c r="H73" s="3">
        <f>G73/1.15*Methane!S4</f>
        <v>-1.692059363875454</v>
      </c>
      <c r="I73" s="1">
        <f t="shared" si="57"/>
        <v>-16.997410363875453</v>
      </c>
      <c r="J73">
        <f>J11+J21+J31+J41+J61</f>
        <v>2.4713082857142856</v>
      </c>
      <c r="K73">
        <f t="shared" si="1"/>
        <v>-1.0967186957885464</v>
      </c>
      <c r="L73">
        <f t="shared" si="2"/>
        <v>-4.819228774024725</v>
      </c>
      <c r="M73">
        <f t="shared" si="3"/>
        <v>0.33803512286551751</v>
      </c>
      <c r="N73">
        <f t="shared" si="4"/>
        <v>1.1158300305714302</v>
      </c>
      <c r="O73">
        <f t="shared" si="5"/>
        <v>-1.7311357003618324</v>
      </c>
      <c r="P73">
        <f t="shared" si="6"/>
        <v>-0.68468162133256305</v>
      </c>
      <c r="Q73" s="1">
        <f t="shared" si="7"/>
        <v>-6.8778996380707209</v>
      </c>
      <c r="R73">
        <f t="shared" si="8"/>
        <v>-4.4620823163763248</v>
      </c>
      <c r="S73">
        <f t="shared" si="9"/>
        <v>-2.4158173216943952</v>
      </c>
      <c r="W73">
        <f>C73*OsloCTM2!AH73</f>
        <v>-7.9897857411226486E-3</v>
      </c>
      <c r="AA73">
        <f t="shared" si="10"/>
        <v>-3.23301863523407E-3</v>
      </c>
    </row>
    <row r="74" spans="1:27" x14ac:dyDescent="0.25">
      <c r="B74" t="s">
        <v>33</v>
      </c>
      <c r="C74">
        <v>-2.2486899999999999</v>
      </c>
      <c r="D74">
        <v>-11.661799999999999</v>
      </c>
      <c r="E74">
        <v>0.76961900000000005</v>
      </c>
      <c r="F74">
        <v>2.61476</v>
      </c>
      <c r="G74">
        <f>-4.56595-0.68489</f>
        <v>-5.2508400000000002</v>
      </c>
      <c r="H74" s="3">
        <f>G74/1.15*Methane!S5</f>
        <v>-1.9826537473583767</v>
      </c>
      <c r="I74" s="1">
        <f t="shared" si="57"/>
        <v>-17.759604747358374</v>
      </c>
      <c r="J74">
        <f>J12+J22+J32+J42+J62</f>
        <v>2.4713451428571425</v>
      </c>
      <c r="K74">
        <f t="shared" si="1"/>
        <v>-0.90990528235172807</v>
      </c>
      <c r="L74">
        <f t="shared" si="2"/>
        <v>-4.7188066926652326</v>
      </c>
      <c r="M74">
        <f t="shared" si="3"/>
        <v>0.31141704436727813</v>
      </c>
      <c r="N74">
        <f t="shared" si="4"/>
        <v>1.0580310919166289</v>
      </c>
      <c r="O74">
        <f t="shared" si="5"/>
        <v>-2.1246890646481944</v>
      </c>
      <c r="P74">
        <f t="shared" si="6"/>
        <v>-0.80225692193936715</v>
      </c>
      <c r="Q74" s="1">
        <f t="shared" si="7"/>
        <v>-7.1862098253206153</v>
      </c>
      <c r="R74">
        <f t="shared" si="8"/>
        <v>-4.2592638387330535</v>
      </c>
      <c r="S74">
        <f t="shared" si="9"/>
        <v>-2.9269459865875618</v>
      </c>
      <c r="W74">
        <f>C74*OsloCTM2!AH74</f>
        <v>-3.4991950376435557E-2</v>
      </c>
      <c r="AA74">
        <f t="shared" si="10"/>
        <v>-1.4159070608802572E-2</v>
      </c>
    </row>
    <row r="75" spans="1:27" x14ac:dyDescent="0.25">
      <c r="A75" t="s">
        <v>9</v>
      </c>
      <c r="B75" t="s">
        <v>52</v>
      </c>
      <c r="C75">
        <v>0.69445400000000002</v>
      </c>
      <c r="D75">
        <v>4.2797099999999997</v>
      </c>
      <c r="E75">
        <v>4.5033399999999997</v>
      </c>
      <c r="F75">
        <v>15.422700000000001</v>
      </c>
      <c r="G75" s="3">
        <f>1.15*Methane!N4*1000</f>
        <v>50.380612150363476</v>
      </c>
      <c r="I75" s="1">
        <f t="shared" si="57"/>
        <v>75.280816150363478</v>
      </c>
      <c r="J75">
        <f>Methane!K4</f>
        <v>36.523930457636858</v>
      </c>
      <c r="K75">
        <f t="shared" si="1"/>
        <v>1.9013671072599343E-2</v>
      </c>
      <c r="L75">
        <f t="shared" si="2"/>
        <v>0.11717550511065401</v>
      </c>
      <c r="M75">
        <f t="shared" si="3"/>
        <v>0.12329834011767449</v>
      </c>
      <c r="N75">
        <f t="shared" si="4"/>
        <v>0.42226287824877945</v>
      </c>
      <c r="O75">
        <f t="shared" si="5"/>
        <v>1.379386378166463</v>
      </c>
      <c r="P75">
        <f t="shared" si="6"/>
        <v>0</v>
      </c>
      <c r="Q75" s="1">
        <f t="shared" si="7"/>
        <v>2.0611367727161705</v>
      </c>
      <c r="R75">
        <f t="shared" si="8"/>
        <v>0.68175039454970721</v>
      </c>
      <c r="S75">
        <f t="shared" si="9"/>
        <v>1.379386378166463</v>
      </c>
      <c r="W75">
        <f>C75*OsloCTM2!AH75</f>
        <v>-1.0009494496979673E-2</v>
      </c>
      <c r="AA75">
        <f t="shared" si="10"/>
        <v>-2.7405304882478136E-4</v>
      </c>
    </row>
    <row r="76" spans="1:27" x14ac:dyDescent="0.25">
      <c r="B76" t="s">
        <v>53</v>
      </c>
      <c r="C76">
        <v>0.60170000000000001</v>
      </c>
      <c r="D76">
        <v>2.9163000000000001</v>
      </c>
      <c r="E76">
        <v>4.04704</v>
      </c>
      <c r="F76">
        <v>14.454599999999999</v>
      </c>
      <c r="G76" s="3">
        <f>1.15*Methane!N5*1000</f>
        <v>48.999555019144587</v>
      </c>
      <c r="I76" s="1">
        <f t="shared" si="57"/>
        <v>71.01919501914459</v>
      </c>
      <c r="J76">
        <f>Methane!K5</f>
        <v>35.260558286410635</v>
      </c>
      <c r="K76">
        <f t="shared" si="1"/>
        <v>1.7064392319389176E-2</v>
      </c>
      <c r="L76">
        <f t="shared" si="2"/>
        <v>8.2707141966153655E-2</v>
      </c>
      <c r="M76">
        <f t="shared" si="3"/>
        <v>0.11477526722994975</v>
      </c>
      <c r="N76">
        <f t="shared" si="4"/>
        <v>0.40993678780096854</v>
      </c>
      <c r="O76">
        <f t="shared" si="5"/>
        <v>1.3896420646870171</v>
      </c>
      <c r="P76">
        <f t="shared" si="6"/>
        <v>0</v>
      </c>
      <c r="Q76" s="1">
        <f t="shared" si="7"/>
        <v>2.014125654003478</v>
      </c>
      <c r="R76">
        <f t="shared" si="8"/>
        <v>0.62448358931646109</v>
      </c>
      <c r="S76">
        <f t="shared" si="9"/>
        <v>1.3896420646870171</v>
      </c>
      <c r="W76">
        <f>C76*OsloCTM2!AH76</f>
        <v>0</v>
      </c>
      <c r="AA76">
        <f t="shared" si="10"/>
        <v>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6"/>
  <sheetViews>
    <sheetView workbookViewId="0">
      <pane xSplit="2" ySplit="4" topLeftCell="C36" activePane="bottomRight" state="frozen"/>
      <selection pane="topRight" activeCell="C1" sqref="C1"/>
      <selection pane="bottomLeft" activeCell="A5" sqref="A5"/>
      <selection pane="bottomRight" activeCell="H55" sqref="H55:H60"/>
    </sheetView>
  </sheetViews>
  <sheetFormatPr defaultRowHeight="15" x14ac:dyDescent="0.25"/>
  <cols>
    <col min="7" max="7" width="9.140625" style="1"/>
    <col min="13" max="13" width="9.140625" style="1"/>
  </cols>
  <sheetData>
    <row r="1" spans="1:31" x14ac:dyDescent="0.25">
      <c r="A1" t="s">
        <v>22</v>
      </c>
      <c r="L1" t="s">
        <v>136</v>
      </c>
    </row>
    <row r="2" spans="1:31" x14ac:dyDescent="0.25">
      <c r="A2" t="s">
        <v>0</v>
      </c>
      <c r="C2" s="1" t="s">
        <v>55</v>
      </c>
      <c r="L2" t="s">
        <v>69</v>
      </c>
    </row>
    <row r="3" spans="1:31" x14ac:dyDescent="0.25">
      <c r="C3" s="1" t="s">
        <v>133</v>
      </c>
      <c r="L3" t="s">
        <v>67</v>
      </c>
    </row>
    <row r="4" spans="1:31" x14ac:dyDescent="0.25">
      <c r="B4" t="s">
        <v>23</v>
      </c>
      <c r="C4" t="s">
        <v>56</v>
      </c>
      <c r="D4" t="s">
        <v>57</v>
      </c>
      <c r="E4" t="s">
        <v>9</v>
      </c>
      <c r="F4" t="s">
        <v>10</v>
      </c>
      <c r="G4" s="1" t="s">
        <v>12</v>
      </c>
      <c r="H4" s="2" t="s">
        <v>11</v>
      </c>
      <c r="I4" s="2" t="s">
        <v>58</v>
      </c>
      <c r="J4" s="2" t="s">
        <v>59</v>
      </c>
      <c r="K4" s="2" t="s">
        <v>19</v>
      </c>
      <c r="L4" s="2" t="s">
        <v>20</v>
      </c>
      <c r="M4" s="1" t="s">
        <v>21</v>
      </c>
      <c r="N4" s="2" t="s">
        <v>46</v>
      </c>
      <c r="O4" s="2" t="s">
        <v>47</v>
      </c>
      <c r="AA4" t="s">
        <v>82</v>
      </c>
      <c r="AE4" t="s">
        <v>14</v>
      </c>
    </row>
    <row r="5" spans="1:31" x14ac:dyDescent="0.25">
      <c r="A5" t="s">
        <v>2</v>
      </c>
      <c r="B5" t="s">
        <v>24</v>
      </c>
      <c r="C5">
        <v>5.6533199999999999</v>
      </c>
      <c r="G5" s="1">
        <f>SUM(C5:F5)</f>
        <v>5.6533199999999999</v>
      </c>
      <c r="H5">
        <v>-0.77194200000000002</v>
      </c>
      <c r="I5">
        <f>C5/H5</f>
        <v>-7.3235035792844538</v>
      </c>
      <c r="J5">
        <f>D5/H5</f>
        <v>0</v>
      </c>
      <c r="K5">
        <f>E5/H5</f>
        <v>0</v>
      </c>
      <c r="L5">
        <f>F5/H5</f>
        <v>0</v>
      </c>
      <c r="M5" s="1">
        <f>G5/H5</f>
        <v>-7.3235035792844538</v>
      </c>
      <c r="N5">
        <f>SUM(I5:J5)</f>
        <v>-7.3235035792844538</v>
      </c>
      <c r="O5">
        <f>SUM(K5:L5)</f>
        <v>0</v>
      </c>
      <c r="AA5">
        <f>C5*OsloCTM2!AK5</f>
        <v>-5.8634422247687508E-2</v>
      </c>
      <c r="AE5">
        <f>AA5/H5</f>
        <v>7.59570307713371E-2</v>
      </c>
    </row>
    <row r="6" spans="1:31" x14ac:dyDescent="0.25">
      <c r="B6" t="s">
        <v>25</v>
      </c>
      <c r="C6">
        <v>1.6395999999999999</v>
      </c>
      <c r="G6" s="1">
        <f t="shared" ref="G6:G76" si="0">SUM(C6:F6)</f>
        <v>1.6395999999999999</v>
      </c>
      <c r="H6">
        <v>-0.84554300000000004</v>
      </c>
      <c r="I6">
        <f t="shared" ref="I6:I76" si="1">C6/H6</f>
        <v>-1.9391089512892896</v>
      </c>
      <c r="J6">
        <f t="shared" ref="J6:J76" si="2">D6/H6</f>
        <v>0</v>
      </c>
      <c r="K6">
        <f t="shared" ref="K6:K76" si="3">E6/H6</f>
        <v>0</v>
      </c>
      <c r="L6">
        <f t="shared" ref="L6:L76" si="4">F6/H6</f>
        <v>0</v>
      </c>
      <c r="M6" s="1">
        <f t="shared" ref="M6:M76" si="5">G6/H6</f>
        <v>-1.9391089512892896</v>
      </c>
      <c r="N6">
        <f t="shared" ref="N6:N76" si="6">SUM(I6:J6)</f>
        <v>-1.9391089512892896</v>
      </c>
      <c r="O6">
        <f t="shared" ref="O6:O76" si="7">SUM(K6:L6)</f>
        <v>0</v>
      </c>
      <c r="AA6">
        <f>C6*OsloCTM2!AK6</f>
        <v>-5.779597813753503E-2</v>
      </c>
      <c r="AE6">
        <f t="shared" ref="AE6:AE76" si="8">AA6/H6</f>
        <v>6.8353682944019431E-2</v>
      </c>
    </row>
    <row r="7" spans="1:31" x14ac:dyDescent="0.25">
      <c r="B7" t="s">
        <v>26</v>
      </c>
      <c r="C7">
        <v>17.484100000000002</v>
      </c>
      <c r="G7" s="1">
        <f t="shared" si="0"/>
        <v>17.484100000000002</v>
      </c>
      <c r="H7">
        <v>-3.1406499999999999</v>
      </c>
      <c r="I7">
        <f t="shared" si="1"/>
        <v>-5.5670323022304302</v>
      </c>
      <c r="J7">
        <f t="shared" si="2"/>
        <v>0</v>
      </c>
      <c r="K7">
        <f t="shared" si="3"/>
        <v>0</v>
      </c>
      <c r="L7">
        <f t="shared" si="4"/>
        <v>0</v>
      </c>
      <c r="M7" s="1">
        <f t="shared" si="5"/>
        <v>-5.5670323022304302</v>
      </c>
      <c r="N7">
        <f t="shared" si="6"/>
        <v>-5.5670323022304302</v>
      </c>
      <c r="O7">
        <f t="shared" si="7"/>
        <v>0</v>
      </c>
      <c r="AA7">
        <f>C7*OsloCTM2!AK7</f>
        <v>-0.11410173309230751</v>
      </c>
      <c r="AE7">
        <f t="shared" si="8"/>
        <v>3.6330610890200281E-2</v>
      </c>
    </row>
    <row r="8" spans="1:31" x14ac:dyDescent="0.25">
      <c r="B8" t="s">
        <v>27</v>
      </c>
      <c r="C8">
        <v>6.3200799999999999</v>
      </c>
      <c r="G8" s="1">
        <f t="shared" si="0"/>
        <v>6.3200799999999999</v>
      </c>
      <c r="H8">
        <v>-3.3531399999999998</v>
      </c>
      <c r="I8">
        <f t="shared" si="1"/>
        <v>-1.8848243735722339</v>
      </c>
      <c r="J8">
        <f t="shared" si="2"/>
        <v>0</v>
      </c>
      <c r="K8">
        <f t="shared" si="3"/>
        <v>0</v>
      </c>
      <c r="L8">
        <f t="shared" si="4"/>
        <v>0</v>
      </c>
      <c r="M8" s="1">
        <f t="shared" si="5"/>
        <v>-1.8848243735722339</v>
      </c>
      <c r="N8">
        <f t="shared" si="6"/>
        <v>-1.8848243735722339</v>
      </c>
      <c r="O8">
        <f t="shared" si="7"/>
        <v>0</v>
      </c>
      <c r="AA8">
        <f>C8*OsloCTM2!AK8</f>
        <v>-0.16172970610053561</v>
      </c>
      <c r="AE8">
        <f t="shared" si="8"/>
        <v>4.8232315411982682E-2</v>
      </c>
    </row>
    <row r="9" spans="1:31" x14ac:dyDescent="0.25">
      <c r="B9" t="s">
        <v>134</v>
      </c>
      <c r="C9">
        <v>78.3215</v>
      </c>
      <c r="G9" s="1">
        <f t="shared" si="0"/>
        <v>78.3215</v>
      </c>
      <c r="H9">
        <v>-4.6161399999999997</v>
      </c>
      <c r="I9">
        <f t="shared" si="1"/>
        <v>-16.966881420407528</v>
      </c>
      <c r="J9">
        <f t="shared" si="2"/>
        <v>0</v>
      </c>
      <c r="K9">
        <f t="shared" si="3"/>
        <v>0</v>
      </c>
      <c r="L9">
        <f t="shared" si="4"/>
        <v>0</v>
      </c>
      <c r="M9" s="1">
        <f t="shared" si="5"/>
        <v>-16.966881420407528</v>
      </c>
      <c r="N9">
        <f t="shared" si="6"/>
        <v>-16.966881420407528</v>
      </c>
      <c r="O9">
        <f t="shared" si="7"/>
        <v>0</v>
      </c>
      <c r="AA9">
        <f>C9*OsloCTM2!AK9</f>
        <v>-1.4674828127380626</v>
      </c>
      <c r="AE9">
        <f t="shared" si="8"/>
        <v>0.31790257937108984</v>
      </c>
    </row>
    <row r="10" spans="1:31" x14ac:dyDescent="0.25">
      <c r="B10" t="s">
        <v>135</v>
      </c>
      <c r="C10">
        <v>62.4863</v>
      </c>
      <c r="G10" s="1">
        <f t="shared" si="0"/>
        <v>62.4863</v>
      </c>
      <c r="H10">
        <v>-4.6814600000000004</v>
      </c>
      <c r="I10">
        <f t="shared" si="1"/>
        <v>-13.347609506436026</v>
      </c>
      <c r="J10">
        <f t="shared" si="2"/>
        <v>0</v>
      </c>
      <c r="K10">
        <f t="shared" si="3"/>
        <v>0</v>
      </c>
      <c r="L10">
        <f t="shared" si="4"/>
        <v>0</v>
      </c>
      <c r="M10" s="1">
        <f t="shared" si="5"/>
        <v>-13.347609506436026</v>
      </c>
      <c r="N10">
        <f t="shared" si="6"/>
        <v>-13.347609506436026</v>
      </c>
      <c r="O10">
        <f t="shared" si="7"/>
        <v>0</v>
      </c>
      <c r="S10" t="s">
        <v>72</v>
      </c>
      <c r="AA10">
        <f>C10*OsloCTM2!AK10</f>
        <v>-1.6625995475970945</v>
      </c>
      <c r="AE10">
        <f t="shared" si="8"/>
        <v>0.35514552032850744</v>
      </c>
    </row>
    <row r="11" spans="1:31" x14ac:dyDescent="0.25">
      <c r="B11" t="s">
        <v>32</v>
      </c>
      <c r="G11" s="1">
        <f>SUM(C11:F11)</f>
        <v>0</v>
      </c>
      <c r="H11">
        <v>-999</v>
      </c>
      <c r="I11">
        <f t="shared" si="1"/>
        <v>0</v>
      </c>
      <c r="J11">
        <f t="shared" si="2"/>
        <v>0</v>
      </c>
      <c r="K11">
        <f t="shared" si="3"/>
        <v>0</v>
      </c>
      <c r="L11">
        <f t="shared" si="4"/>
        <v>0</v>
      </c>
      <c r="M11" s="1">
        <f t="shared" si="5"/>
        <v>0</v>
      </c>
      <c r="N11">
        <f t="shared" si="6"/>
        <v>0</v>
      </c>
      <c r="O11">
        <f t="shared" si="7"/>
        <v>0</v>
      </c>
      <c r="AA11">
        <f>C11*OsloCTM2!AK11</f>
        <v>0</v>
      </c>
      <c r="AE11">
        <f t="shared" si="8"/>
        <v>0</v>
      </c>
    </row>
    <row r="12" spans="1:31" x14ac:dyDescent="0.25">
      <c r="B12" t="s">
        <v>33</v>
      </c>
      <c r="G12" s="1">
        <f>SUM(C12:F12)</f>
        <v>0</v>
      </c>
      <c r="H12">
        <v>-999</v>
      </c>
      <c r="I12">
        <f t="shared" si="1"/>
        <v>0</v>
      </c>
      <c r="J12">
        <f t="shared" si="2"/>
        <v>0</v>
      </c>
      <c r="K12">
        <f t="shared" si="3"/>
        <v>0</v>
      </c>
      <c r="L12">
        <f t="shared" si="4"/>
        <v>0</v>
      </c>
      <c r="M12" s="1">
        <f t="shared" si="5"/>
        <v>0</v>
      </c>
      <c r="N12">
        <f t="shared" si="6"/>
        <v>0</v>
      </c>
      <c r="O12">
        <f t="shared" si="7"/>
        <v>0</v>
      </c>
      <c r="S12" t="s">
        <v>68</v>
      </c>
      <c r="U12" t="s">
        <v>70</v>
      </c>
      <c r="W12" t="s">
        <v>71</v>
      </c>
      <c r="AA12">
        <f>C12*OsloCTM2!AK12</f>
        <v>0</v>
      </c>
      <c r="AE12">
        <f t="shared" si="8"/>
        <v>0</v>
      </c>
    </row>
    <row r="13" spans="1:31" x14ac:dyDescent="0.25">
      <c r="B13" t="s">
        <v>28</v>
      </c>
      <c r="C13">
        <f>C5+C7+C9</f>
        <v>101.45892000000001</v>
      </c>
      <c r="G13" s="1">
        <f t="shared" ref="G13:G14" si="9">SUM(C13:F13)</f>
        <v>101.45892000000001</v>
      </c>
      <c r="H13">
        <f>H5+H7+H9</f>
        <v>-8.5287319999999998</v>
      </c>
      <c r="I13">
        <f t="shared" ref="I13:I14" si="10">C13/H13</f>
        <v>-11.896131804821632</v>
      </c>
      <c r="J13">
        <f t="shared" ref="J13:J14" si="11">D13/H13</f>
        <v>0</v>
      </c>
      <c r="K13">
        <f t="shared" ref="K13:K14" si="12">E13/H13</f>
        <v>0</v>
      </c>
      <c r="L13">
        <f t="shared" ref="L13:L14" si="13">F13/H13</f>
        <v>0</v>
      </c>
      <c r="M13" s="1">
        <f t="shared" ref="M13:M14" si="14">G13/H13</f>
        <v>-11.896131804821632</v>
      </c>
      <c r="N13">
        <f t="shared" ref="N13:N14" si="15">SUM(I13:J13)</f>
        <v>-11.896131804821632</v>
      </c>
      <c r="O13">
        <f t="shared" ref="O13:O14" si="16">SUM(K13:L13)</f>
        <v>0</v>
      </c>
      <c r="AA13">
        <f>C13*OsloCTM2!AK13</f>
        <v>-1.4170203011832549</v>
      </c>
      <c r="AE13">
        <f t="shared" ref="AE13:AE14" si="17">AA13/H13</f>
        <v>0.16614665593704375</v>
      </c>
    </row>
    <row r="14" spans="1:31" x14ac:dyDescent="0.25">
      <c r="B14" t="s">
        <v>29</v>
      </c>
      <c r="C14">
        <f>C6+C8+C10</f>
        <v>70.445980000000006</v>
      </c>
      <c r="G14" s="1">
        <f t="shared" si="9"/>
        <v>70.445980000000006</v>
      </c>
      <c r="H14">
        <f>H6+H8+H10</f>
        <v>-8.8801430000000003</v>
      </c>
      <c r="I14">
        <f t="shared" si="10"/>
        <v>-7.9329781063210358</v>
      </c>
      <c r="J14">
        <f t="shared" si="11"/>
        <v>0</v>
      </c>
      <c r="K14">
        <f t="shared" si="12"/>
        <v>0</v>
      </c>
      <c r="L14">
        <f t="shared" si="13"/>
        <v>0</v>
      </c>
      <c r="M14" s="1">
        <f t="shared" si="14"/>
        <v>-7.9329781063210358</v>
      </c>
      <c r="N14">
        <f t="shared" si="15"/>
        <v>-7.9329781063210358</v>
      </c>
      <c r="O14">
        <f t="shared" si="16"/>
        <v>0</v>
      </c>
      <c r="AA14">
        <f>C14*OsloCTM2!AK14</f>
        <v>-1.638222201631016</v>
      </c>
      <c r="AE14">
        <f t="shared" si="17"/>
        <v>0.184481511348524</v>
      </c>
    </row>
    <row r="15" spans="1:31" x14ac:dyDescent="0.25">
      <c r="A15" t="s">
        <v>30</v>
      </c>
      <c r="B15" t="s">
        <v>24</v>
      </c>
      <c r="C15">
        <v>-0.34606700000000001</v>
      </c>
      <c r="D15">
        <v>-0.234709</v>
      </c>
      <c r="E15">
        <f>1.15*S15*U15</f>
        <v>0.58489754399999994</v>
      </c>
      <c r="F15" s="3">
        <f>E15/1.15*Methane!S3</f>
        <v>0.26515537723337307</v>
      </c>
      <c r="G15" s="1">
        <f t="shared" si="0"/>
        <v>0.26927692123337305</v>
      </c>
      <c r="H15">
        <v>-0.996201</v>
      </c>
      <c r="I15">
        <f t="shared" si="1"/>
        <v>0.34738672215747629</v>
      </c>
      <c r="J15">
        <f t="shared" si="2"/>
        <v>0.2356040598232686</v>
      </c>
      <c r="K15">
        <f t="shared" si="3"/>
        <v>-0.58712804343701719</v>
      </c>
      <c r="L15">
        <f t="shared" si="4"/>
        <v>-0.26616654393377748</v>
      </c>
      <c r="M15" s="1">
        <f t="shared" si="5"/>
        <v>-0.27030380539004983</v>
      </c>
      <c r="N15">
        <f t="shared" si="6"/>
        <v>0.58299078198074494</v>
      </c>
      <c r="O15">
        <f t="shared" si="7"/>
        <v>-0.85329458737079467</v>
      </c>
      <c r="S15">
        <v>1.4011199999999999</v>
      </c>
      <c r="U15">
        <v>0.36299999999999999</v>
      </c>
      <c r="W15">
        <f>D75/-334</f>
        <v>0.19164011976047904</v>
      </c>
      <c r="AA15">
        <f>C15*OsloCTM2!AK15</f>
        <v>-1.58671093435198E-3</v>
      </c>
      <c r="AE15">
        <f t="shared" si="8"/>
        <v>1.5927618365691059E-3</v>
      </c>
    </row>
    <row r="16" spans="1:31" x14ac:dyDescent="0.25">
      <c r="A16" t="s">
        <v>31</v>
      </c>
      <c r="B16" t="s">
        <v>25</v>
      </c>
      <c r="C16">
        <v>0.13806499999999999</v>
      </c>
      <c r="D16">
        <v>-6.8709699999999999E-2</v>
      </c>
      <c r="E16">
        <f>1.15*S16*U16</f>
        <v>0.22706984024999999</v>
      </c>
      <c r="F16" s="3">
        <f>E16/1.15*Methane!S3</f>
        <v>0.1029390356780341</v>
      </c>
      <c r="G16" s="1">
        <f t="shared" si="0"/>
        <v>0.39936417592803408</v>
      </c>
      <c r="H16">
        <v>-1.0618700000000001</v>
      </c>
      <c r="I16">
        <f t="shared" si="1"/>
        <v>-0.13002062399352085</v>
      </c>
      <c r="J16">
        <f t="shared" si="2"/>
        <v>6.4706319982672067E-2</v>
      </c>
      <c r="K16">
        <f t="shared" si="3"/>
        <v>-0.21383958511870566</v>
      </c>
      <c r="L16">
        <f t="shared" si="4"/>
        <v>-9.6941278761085714E-2</v>
      </c>
      <c r="M16" s="1">
        <f t="shared" si="5"/>
        <v>-0.37609516789064013</v>
      </c>
      <c r="N16">
        <f t="shared" si="6"/>
        <v>-6.5314304010848784E-2</v>
      </c>
      <c r="O16">
        <f t="shared" si="7"/>
        <v>-0.31078086387979137</v>
      </c>
      <c r="S16">
        <v>0.54394500000000001</v>
      </c>
      <c r="U16">
        <v>0.36299999999999999</v>
      </c>
      <c r="W16">
        <v>0.14558862275449103</v>
      </c>
      <c r="AA16">
        <f>C16*OsloCTM2!AK16</f>
        <v>0.36542760907819893</v>
      </c>
      <c r="AE16">
        <f t="shared" si="8"/>
        <v>-0.34413591972482405</v>
      </c>
    </row>
    <row r="17" spans="1:31" x14ac:dyDescent="0.25">
      <c r="B17" t="s">
        <v>26</v>
      </c>
      <c r="C17">
        <v>1.6779500000000001</v>
      </c>
      <c r="D17">
        <v>-1.9870300000000001</v>
      </c>
      <c r="E17">
        <f t="shared" ref="E17:E20" si="18">1.15*S17*U17</f>
        <v>1.2634583444999998</v>
      </c>
      <c r="F17" s="3">
        <f>E17/1.15*Methane!S3</f>
        <v>0.57277172282766597</v>
      </c>
      <c r="G17" s="1">
        <f t="shared" si="0"/>
        <v>1.5271500673276659</v>
      </c>
      <c r="H17">
        <v>-2.0296500000000002</v>
      </c>
      <c r="I17">
        <f t="shared" si="1"/>
        <v>-0.82671889241987528</v>
      </c>
      <c r="J17">
        <f t="shared" si="2"/>
        <v>0.97900130564383014</v>
      </c>
      <c r="K17">
        <f t="shared" si="3"/>
        <v>-0.62250060084250969</v>
      </c>
      <c r="L17">
        <f t="shared" si="4"/>
        <v>-0.28220221359725367</v>
      </c>
      <c r="M17" s="1">
        <f t="shared" si="5"/>
        <v>-0.75242040121580855</v>
      </c>
      <c r="N17">
        <f t="shared" si="6"/>
        <v>0.15228241322395486</v>
      </c>
      <c r="O17">
        <f t="shared" si="7"/>
        <v>-0.9047028144397633</v>
      </c>
      <c r="S17">
        <v>3.0266099999999998</v>
      </c>
      <c r="U17">
        <v>0.36299999999999999</v>
      </c>
      <c r="W17">
        <v>0.14558862275449103</v>
      </c>
      <c r="AA17">
        <f>C17*OsloCTM2!AK17</f>
        <v>1.6664876873875272</v>
      </c>
      <c r="AE17">
        <f t="shared" si="8"/>
        <v>-0.82107145930950021</v>
      </c>
    </row>
    <row r="18" spans="1:31" x14ac:dyDescent="0.25">
      <c r="B18" t="s">
        <v>27</v>
      </c>
      <c r="C18">
        <v>0.35854999999999998</v>
      </c>
      <c r="D18">
        <v>-0.435085</v>
      </c>
      <c r="E18">
        <f t="shared" si="18"/>
        <v>0.65965448999999998</v>
      </c>
      <c r="F18" s="3">
        <f>E18/1.15*Methane!S3</f>
        <v>0.29904542587656746</v>
      </c>
      <c r="G18" s="1">
        <f t="shared" si="0"/>
        <v>0.88216491587656742</v>
      </c>
      <c r="H18">
        <v>-2.1318800000000002</v>
      </c>
      <c r="I18">
        <f t="shared" si="1"/>
        <v>-0.16818488845526011</v>
      </c>
      <c r="J18">
        <f t="shared" si="2"/>
        <v>0.20408512674259338</v>
      </c>
      <c r="K18">
        <f t="shared" si="3"/>
        <v>-0.30942383717657651</v>
      </c>
      <c r="L18">
        <f t="shared" si="4"/>
        <v>-0.14027310443203531</v>
      </c>
      <c r="M18" s="1">
        <f t="shared" si="5"/>
        <v>-0.41379670332127855</v>
      </c>
      <c r="N18">
        <f t="shared" si="6"/>
        <v>3.5900238287333269E-2</v>
      </c>
      <c r="O18">
        <f t="shared" si="7"/>
        <v>-0.44969694160861184</v>
      </c>
      <c r="S18">
        <v>1.5802</v>
      </c>
      <c r="U18">
        <v>0.36299999999999999</v>
      </c>
      <c r="W18">
        <v>0.14558862275449103</v>
      </c>
      <c r="AA18">
        <f>C18*OsloCTM2!AK18</f>
        <v>0.91162853529899024</v>
      </c>
      <c r="AE18">
        <f t="shared" si="8"/>
        <v>-0.42761719013217919</v>
      </c>
    </row>
    <row r="19" spans="1:31" x14ac:dyDescent="0.25">
      <c r="B19" t="s">
        <v>134</v>
      </c>
      <c r="C19">
        <v>7.6037299999999997</v>
      </c>
      <c r="D19">
        <v>-14.6807</v>
      </c>
      <c r="E19">
        <f t="shared" si="18"/>
        <v>11.300037539999998</v>
      </c>
      <c r="F19" s="3">
        <f>E19/1.15*Methane!S3</f>
        <v>5.122718923008466</v>
      </c>
      <c r="G19" s="1">
        <f t="shared" si="0"/>
        <v>9.3457864630084639</v>
      </c>
      <c r="H19">
        <v>-7.1743499999999996</v>
      </c>
      <c r="I19">
        <f t="shared" si="1"/>
        <v>-1.0598493243290332</v>
      </c>
      <c r="J19">
        <f t="shared" si="2"/>
        <v>2.0462759692515697</v>
      </c>
      <c r="K19">
        <f t="shared" si="3"/>
        <v>-1.5750608124777852</v>
      </c>
      <c r="L19">
        <f t="shared" si="4"/>
        <v>-0.7140324800167912</v>
      </c>
      <c r="M19" s="1">
        <f t="shared" si="5"/>
        <v>-1.3026666475720399</v>
      </c>
      <c r="N19">
        <f t="shared" si="6"/>
        <v>0.98642664492253651</v>
      </c>
      <c r="O19">
        <f t="shared" si="7"/>
        <v>-2.2890932924945764</v>
      </c>
      <c r="S19">
        <v>27.069199999999999</v>
      </c>
      <c r="U19">
        <v>0.36299999999999999</v>
      </c>
      <c r="W19">
        <v>0.14558862275449103</v>
      </c>
      <c r="AA19">
        <f>C19*OsloCTM2!AK19</f>
        <v>8.8830662947460048</v>
      </c>
      <c r="AE19">
        <f t="shared" si="8"/>
        <v>-1.2381701889015737</v>
      </c>
    </row>
    <row r="20" spans="1:31" x14ac:dyDescent="0.25">
      <c r="B20" t="s">
        <v>135</v>
      </c>
      <c r="C20">
        <v>8.1737000000000002</v>
      </c>
      <c r="D20">
        <v>-11.52</v>
      </c>
      <c r="E20">
        <f t="shared" si="18"/>
        <v>10.808072715</v>
      </c>
      <c r="F20" s="3">
        <f>E20/1.15*Methane!S3</f>
        <v>4.8996933348578944</v>
      </c>
      <c r="G20" s="1">
        <f t="shared" si="0"/>
        <v>12.361466049857896</v>
      </c>
      <c r="H20">
        <v>-6.6895800000000003</v>
      </c>
      <c r="I20">
        <f t="shared" si="1"/>
        <v>-1.2218554827059396</v>
      </c>
      <c r="J20">
        <f t="shared" si="2"/>
        <v>1.7220812068919125</v>
      </c>
      <c r="K20">
        <f t="shared" si="3"/>
        <v>-1.6156578910783637</v>
      </c>
      <c r="L20">
        <f t="shared" si="4"/>
        <v>-0.73243661558093243</v>
      </c>
      <c r="M20" s="1">
        <f t="shared" si="5"/>
        <v>-1.8478687824733235</v>
      </c>
      <c r="N20">
        <f t="shared" si="6"/>
        <v>0.50022572418597289</v>
      </c>
      <c r="O20">
        <f t="shared" si="7"/>
        <v>-2.348094506659296</v>
      </c>
      <c r="S20">
        <v>25.890699999999999</v>
      </c>
      <c r="U20">
        <v>0.36299999999999999</v>
      </c>
      <c r="W20">
        <v>0.14558862275449103</v>
      </c>
      <c r="AA20">
        <f>C20*OsloCTM2!AK20</f>
        <v>18.478363667525144</v>
      </c>
      <c r="AE20">
        <f t="shared" si="8"/>
        <v>-2.7622606602395283</v>
      </c>
    </row>
    <row r="21" spans="1:31" x14ac:dyDescent="0.25">
      <c r="B21" t="s">
        <v>32</v>
      </c>
      <c r="G21" s="1">
        <f t="shared" si="0"/>
        <v>0</v>
      </c>
      <c r="H21">
        <v>-999</v>
      </c>
      <c r="I21">
        <f t="shared" si="1"/>
        <v>0</v>
      </c>
      <c r="J21">
        <f t="shared" si="2"/>
        <v>0</v>
      </c>
      <c r="K21">
        <f t="shared" si="3"/>
        <v>0</v>
      </c>
      <c r="L21">
        <f t="shared" si="4"/>
        <v>0</v>
      </c>
      <c r="M21" s="1">
        <f t="shared" si="5"/>
        <v>0</v>
      </c>
      <c r="N21">
        <f t="shared" si="6"/>
        <v>0</v>
      </c>
      <c r="O21">
        <f t="shared" si="7"/>
        <v>0</v>
      </c>
      <c r="AA21">
        <f>C21*OsloCTM2!AK21</f>
        <v>0</v>
      </c>
      <c r="AE21">
        <f t="shared" si="8"/>
        <v>0</v>
      </c>
    </row>
    <row r="22" spans="1:31" x14ac:dyDescent="0.25">
      <c r="B22" t="s">
        <v>33</v>
      </c>
      <c r="G22" s="1">
        <f t="shared" si="0"/>
        <v>0</v>
      </c>
      <c r="H22">
        <v>-999</v>
      </c>
      <c r="I22">
        <f t="shared" si="1"/>
        <v>0</v>
      </c>
      <c r="J22">
        <f t="shared" si="2"/>
        <v>0</v>
      </c>
      <c r="K22">
        <f t="shared" si="3"/>
        <v>0</v>
      </c>
      <c r="L22">
        <f t="shared" si="4"/>
        <v>0</v>
      </c>
      <c r="M22" s="1">
        <f t="shared" si="5"/>
        <v>0</v>
      </c>
      <c r="N22">
        <f t="shared" si="6"/>
        <v>0</v>
      </c>
      <c r="O22">
        <f t="shared" si="7"/>
        <v>0</v>
      </c>
      <c r="AA22">
        <f>C22*OsloCTM2!AK22</f>
        <v>0</v>
      </c>
      <c r="AE22">
        <f t="shared" si="8"/>
        <v>0</v>
      </c>
    </row>
    <row r="23" spans="1:31" x14ac:dyDescent="0.25">
      <c r="B23" t="s">
        <v>28</v>
      </c>
      <c r="C23">
        <f>C15+C17+C19</f>
        <v>8.935613</v>
      </c>
      <c r="D23">
        <f t="shared" ref="D23:F23" si="19">D15+D17+D19</f>
        <v>-16.902439000000001</v>
      </c>
      <c r="E23">
        <f t="shared" si="19"/>
        <v>13.148393428499999</v>
      </c>
      <c r="F23">
        <f t="shared" si="19"/>
        <v>5.9606460230695051</v>
      </c>
      <c r="G23" s="1">
        <f t="shared" si="0"/>
        <v>11.142213451569503</v>
      </c>
      <c r="H23">
        <f>H15+H17+H19</f>
        <v>-10.200201</v>
      </c>
      <c r="I23">
        <f t="shared" ref="I23:I24" si="20">C23/H23</f>
        <v>-0.87602322738542115</v>
      </c>
      <c r="J23">
        <f t="shared" ref="J23:J24" si="21">D23/H23</f>
        <v>1.6570692087342203</v>
      </c>
      <c r="K23">
        <f t="shared" ref="K23:K24" si="22">E23/H23</f>
        <v>-1.2890327777364385</v>
      </c>
      <c r="L23">
        <f t="shared" ref="L23:L24" si="23">F23/H23</f>
        <v>-0.58436554564655196</v>
      </c>
      <c r="M23" s="1">
        <f t="shared" ref="M23:M24" si="24">G23/H23</f>
        <v>-1.0923523420341916</v>
      </c>
      <c r="N23">
        <f t="shared" ref="N23:N24" si="25">SUM(I23:J23)</f>
        <v>0.7810459813487991</v>
      </c>
      <c r="O23">
        <f t="shared" ref="O23:O24" si="26">SUM(K23:L23)</f>
        <v>-1.8733983233829905</v>
      </c>
      <c r="AA23">
        <f>C23*OsloCTM2!AK23</f>
        <v>4.6679920016886989</v>
      </c>
      <c r="AE23">
        <f t="shared" ref="AE23:AE24" si="27">AA23/H23</f>
        <v>-0.45763725652942516</v>
      </c>
    </row>
    <row r="24" spans="1:31" x14ac:dyDescent="0.25">
      <c r="B24" t="s">
        <v>29</v>
      </c>
      <c r="C24">
        <f>C16+C18+C20</f>
        <v>8.6703150000000004</v>
      </c>
      <c r="D24">
        <f t="shared" ref="D24:F24" si="28">D16+D18+D20</f>
        <v>-12.0237947</v>
      </c>
      <c r="E24">
        <f t="shared" si="28"/>
        <v>11.694797045250001</v>
      </c>
      <c r="F24">
        <f t="shared" si="28"/>
        <v>5.3016777964124957</v>
      </c>
      <c r="G24" s="1">
        <f t="shared" si="0"/>
        <v>13.642995141662496</v>
      </c>
      <c r="H24">
        <f>H16+H18+H20</f>
        <v>-9.8833300000000008</v>
      </c>
      <c r="I24">
        <f t="shared" si="20"/>
        <v>-0.87726656906123746</v>
      </c>
      <c r="J24">
        <f t="shared" si="21"/>
        <v>1.2165732298729273</v>
      </c>
      <c r="K24">
        <f t="shared" si="22"/>
        <v>-1.1832850916897442</v>
      </c>
      <c r="L24">
        <f t="shared" si="23"/>
        <v>-0.53642626487352896</v>
      </c>
      <c r="M24" s="1">
        <f t="shared" si="24"/>
        <v>-1.3804046957515832</v>
      </c>
      <c r="N24">
        <f t="shared" si="25"/>
        <v>0.33930666081168981</v>
      </c>
      <c r="O24">
        <f t="shared" si="26"/>
        <v>-1.7197113565632731</v>
      </c>
      <c r="AA24">
        <f>C24*OsloCTM2!AK24</f>
        <v>41.744460063097804</v>
      </c>
      <c r="AE24">
        <f t="shared" si="27"/>
        <v>-4.2237241965104682</v>
      </c>
    </row>
    <row r="25" spans="1:31" x14ac:dyDescent="0.25">
      <c r="A25" t="s">
        <v>34</v>
      </c>
      <c r="B25" t="s">
        <v>24</v>
      </c>
      <c r="C25">
        <v>-7.3012499999999994E-2</v>
      </c>
      <c r="D25">
        <v>-5.6492300000000002E-2</v>
      </c>
      <c r="E25">
        <f t="shared" ref="E25:E30" si="29">1.15*S25*U25</f>
        <v>-0.15868401614999997</v>
      </c>
      <c r="F25" s="3">
        <f>E25/1.15*Methane!S3</f>
        <v>-7.1937248830642911E-2</v>
      </c>
      <c r="G25" s="1">
        <f t="shared" si="0"/>
        <v>-0.36012606498064287</v>
      </c>
      <c r="H25">
        <v>-2.4321299999999999</v>
      </c>
      <c r="I25">
        <f t="shared" si="1"/>
        <v>3.0019982484488904E-2</v>
      </c>
      <c r="J25">
        <f t="shared" si="2"/>
        <v>2.322750017474395E-2</v>
      </c>
      <c r="K25">
        <f t="shared" si="3"/>
        <v>6.5244874307705578E-2</v>
      </c>
      <c r="L25">
        <f t="shared" si="4"/>
        <v>2.9577879813432222E-2</v>
      </c>
      <c r="M25" s="1">
        <f t="shared" si="5"/>
        <v>0.14807023678037065</v>
      </c>
      <c r="N25">
        <f t="shared" si="6"/>
        <v>5.3247482659232855E-2</v>
      </c>
      <c r="O25">
        <f t="shared" si="7"/>
        <v>9.4822754121137803E-2</v>
      </c>
      <c r="S25">
        <v>-0.38012699999999999</v>
      </c>
      <c r="U25">
        <v>0.36299999999999999</v>
      </c>
      <c r="W25">
        <v>0.14558862275449103</v>
      </c>
      <c r="AA25">
        <f>C25*OsloCTM2!AK25</f>
        <v>-2.6459524858542558E-5</v>
      </c>
      <c r="AE25">
        <f t="shared" si="8"/>
        <v>1.0879157305959205E-5</v>
      </c>
    </row>
    <row r="26" spans="1:31" x14ac:dyDescent="0.25">
      <c r="B26" t="s">
        <v>25</v>
      </c>
      <c r="C26">
        <v>-0.220916</v>
      </c>
      <c r="D26">
        <v>-9.7328999999999999E-2</v>
      </c>
      <c r="E26">
        <f t="shared" si="29"/>
        <v>-0.25356831390000001</v>
      </c>
      <c r="F26" s="3">
        <f>E26/1.15*Methane!S3</f>
        <v>-0.11495175969927629</v>
      </c>
      <c r="G26" s="1">
        <f t="shared" si="0"/>
        <v>-0.6867650735992763</v>
      </c>
      <c r="H26">
        <v>-3.18188</v>
      </c>
      <c r="I26">
        <f t="shared" si="1"/>
        <v>6.9429393943203382E-2</v>
      </c>
      <c r="J26">
        <f t="shared" si="2"/>
        <v>3.0588519994468679E-2</v>
      </c>
      <c r="K26">
        <f t="shared" si="3"/>
        <v>7.9691350365192912E-2</v>
      </c>
      <c r="L26">
        <f t="shared" si="4"/>
        <v>3.6126994009603217E-2</v>
      </c>
      <c r="M26" s="1">
        <f t="shared" si="5"/>
        <v>0.21583625831246819</v>
      </c>
      <c r="N26">
        <f t="shared" si="6"/>
        <v>0.10001791393767206</v>
      </c>
      <c r="O26">
        <f t="shared" si="7"/>
        <v>0.11581834437479613</v>
      </c>
      <c r="S26">
        <v>-0.60742200000000002</v>
      </c>
      <c r="U26">
        <v>0.36299999999999999</v>
      </c>
      <c r="W26">
        <v>0.14558862275449103</v>
      </c>
      <c r="AA26">
        <f>C26*OsloCTM2!AK26</f>
        <v>3.7389719013646932E-3</v>
      </c>
      <c r="AE26">
        <f t="shared" si="8"/>
        <v>-1.1750826245379125E-3</v>
      </c>
    </row>
    <row r="27" spans="1:31" x14ac:dyDescent="0.25">
      <c r="B27" t="s">
        <v>26</v>
      </c>
      <c r="C27">
        <v>-0.94890399999999997</v>
      </c>
      <c r="D27">
        <v>-0.72140599999999999</v>
      </c>
      <c r="E27">
        <f t="shared" si="29"/>
        <v>-0.75127641599999995</v>
      </c>
      <c r="F27" s="3">
        <f>E27/1.15*Methane!S3</f>
        <v>-0.34058098471177123</v>
      </c>
      <c r="G27" s="1">
        <f t="shared" si="0"/>
        <v>-2.7621674007117711</v>
      </c>
      <c r="H27">
        <v>-13.098800000000001</v>
      </c>
      <c r="I27">
        <f t="shared" si="1"/>
        <v>7.2442055760833041E-2</v>
      </c>
      <c r="J27">
        <f t="shared" si="2"/>
        <v>5.5074205270711815E-2</v>
      </c>
      <c r="K27">
        <f t="shared" si="3"/>
        <v>5.7354598589183736E-2</v>
      </c>
      <c r="L27">
        <f t="shared" si="4"/>
        <v>2.6000930215880173E-2</v>
      </c>
      <c r="M27" s="1">
        <f t="shared" si="5"/>
        <v>0.21087178983660879</v>
      </c>
      <c r="N27">
        <f t="shared" si="6"/>
        <v>0.12751626103154484</v>
      </c>
      <c r="O27">
        <f t="shared" si="7"/>
        <v>8.3355528805063916E-2</v>
      </c>
      <c r="S27">
        <v>-1.7996799999999999</v>
      </c>
      <c r="U27">
        <v>0.36299999999999999</v>
      </c>
      <c r="W27">
        <v>0.14558862275449103</v>
      </c>
      <c r="AA27">
        <f>C27*OsloCTM2!AK27</f>
        <v>-2.7665225587922081E-2</v>
      </c>
      <c r="AE27">
        <f t="shared" si="8"/>
        <v>2.1120427510857545E-3</v>
      </c>
    </row>
    <row r="28" spans="1:31" x14ac:dyDescent="0.25">
      <c r="B28" t="s">
        <v>27</v>
      </c>
      <c r="C28">
        <v>-1.46522</v>
      </c>
      <c r="D28">
        <v>-0.61745300000000003</v>
      </c>
      <c r="E28">
        <f t="shared" si="29"/>
        <v>-1.317321918</v>
      </c>
      <c r="F28" s="3">
        <f>E28/1.15*Methane!S3</f>
        <v>-0.59719004411665066</v>
      </c>
      <c r="G28" s="1">
        <f t="shared" si="0"/>
        <v>-3.9971849621166506</v>
      </c>
      <c r="H28">
        <v>-17.577300000000001</v>
      </c>
      <c r="I28">
        <f t="shared" si="1"/>
        <v>8.3358650077088051E-2</v>
      </c>
      <c r="J28">
        <f t="shared" si="2"/>
        <v>3.5127863778851132E-2</v>
      </c>
      <c r="K28">
        <f t="shared" si="3"/>
        <v>7.4944497619088252E-2</v>
      </c>
      <c r="L28">
        <f t="shared" si="4"/>
        <v>3.3975072628711502E-2</v>
      </c>
      <c r="M28" s="1">
        <f t="shared" si="5"/>
        <v>0.22740608410373894</v>
      </c>
      <c r="N28">
        <f t="shared" si="6"/>
        <v>0.11848651385593918</v>
      </c>
      <c r="O28">
        <f t="shared" si="7"/>
        <v>0.10891957024779975</v>
      </c>
      <c r="S28">
        <v>-3.15564</v>
      </c>
      <c r="U28">
        <v>0.36299999999999999</v>
      </c>
      <c r="W28">
        <v>0.14558862275449103</v>
      </c>
      <c r="AA28">
        <f>C28*OsloCTM2!AK28</f>
        <v>-1.5040461173203073E-2</v>
      </c>
      <c r="AE28">
        <f t="shared" si="8"/>
        <v>8.556752842133361E-4</v>
      </c>
    </row>
    <row r="29" spans="1:31" x14ac:dyDescent="0.25">
      <c r="B29" t="s">
        <v>134</v>
      </c>
      <c r="C29">
        <v>-4.03979</v>
      </c>
      <c r="D29">
        <v>-3.7652899999999998</v>
      </c>
      <c r="E29">
        <f t="shared" si="29"/>
        <v>-4.0976057099999998</v>
      </c>
      <c r="F29" s="3">
        <f>E29/1.15*Methane!S3</f>
        <v>-1.8575940332357999</v>
      </c>
      <c r="G29" s="1">
        <f t="shared" si="0"/>
        <v>-13.760279743235801</v>
      </c>
      <c r="H29">
        <v>-64.390600000000006</v>
      </c>
      <c r="I29">
        <f t="shared" si="1"/>
        <v>6.2738815914124099E-2</v>
      </c>
      <c r="J29">
        <f t="shared" si="2"/>
        <v>5.847577130823442E-2</v>
      </c>
      <c r="K29">
        <f t="shared" si="3"/>
        <v>6.3636706444729504E-2</v>
      </c>
      <c r="L29">
        <f t="shared" si="4"/>
        <v>2.8848838700614683E-2</v>
      </c>
      <c r="M29" s="1">
        <f t="shared" si="5"/>
        <v>0.21370013236770272</v>
      </c>
      <c r="N29">
        <f t="shared" si="6"/>
        <v>0.12121458722235852</v>
      </c>
      <c r="O29">
        <f t="shared" si="7"/>
        <v>9.2485545145344183E-2</v>
      </c>
      <c r="S29">
        <v>-9.8157999999999994</v>
      </c>
      <c r="U29">
        <v>0.36299999999999999</v>
      </c>
      <c r="W29">
        <v>0.14558862275449103</v>
      </c>
      <c r="AA29">
        <f>C29*OsloCTM2!AK29</f>
        <v>1.6552700627278503E-2</v>
      </c>
      <c r="AE29">
        <f t="shared" si="8"/>
        <v>-2.5706703505291926E-4</v>
      </c>
    </row>
    <row r="30" spans="1:31" x14ac:dyDescent="0.25">
      <c r="B30" t="s">
        <v>135</v>
      </c>
      <c r="C30">
        <v>-4.3082099999999999</v>
      </c>
      <c r="D30">
        <v>-2.79495</v>
      </c>
      <c r="E30">
        <f t="shared" si="29"/>
        <v>-4.0012916459999994</v>
      </c>
      <c r="F30" s="3">
        <f>E30/1.15*Methane!S3</f>
        <v>-1.8139313572085616</v>
      </c>
      <c r="G30" s="1">
        <f t="shared" si="0"/>
        <v>-12.918383003208561</v>
      </c>
      <c r="H30">
        <v>-51.402099999999997</v>
      </c>
      <c r="I30">
        <f t="shared" si="1"/>
        <v>8.3813890872162816E-2</v>
      </c>
      <c r="J30">
        <f t="shared" si="2"/>
        <v>5.4374237628423742E-2</v>
      </c>
      <c r="K30">
        <f t="shared" si="3"/>
        <v>7.7842960618340493E-2</v>
      </c>
      <c r="L30">
        <f t="shared" si="4"/>
        <v>3.5289051560316829E-2</v>
      </c>
      <c r="M30" s="1">
        <f t="shared" si="5"/>
        <v>0.25132014067924385</v>
      </c>
      <c r="N30">
        <f t="shared" si="6"/>
        <v>0.13818812850058657</v>
      </c>
      <c r="O30">
        <f t="shared" si="7"/>
        <v>0.11313201217865732</v>
      </c>
      <c r="S30">
        <v>-9.5850799999999996</v>
      </c>
      <c r="U30">
        <v>0.36299999999999999</v>
      </c>
      <c r="W30">
        <v>0.14558862275449103</v>
      </c>
      <c r="AA30">
        <f>C30*OsloCTM2!AK30</f>
        <v>2.5133526958208981E-2</v>
      </c>
      <c r="AE30">
        <f t="shared" si="8"/>
        <v>-4.8895914677044288E-4</v>
      </c>
    </row>
    <row r="31" spans="1:31" x14ac:dyDescent="0.25">
      <c r="B31" t="s">
        <v>32</v>
      </c>
      <c r="G31" s="1">
        <f t="shared" si="0"/>
        <v>0</v>
      </c>
      <c r="H31">
        <v>-999</v>
      </c>
      <c r="I31">
        <f t="shared" si="1"/>
        <v>0</v>
      </c>
      <c r="J31">
        <f t="shared" si="2"/>
        <v>0</v>
      </c>
      <c r="K31">
        <f t="shared" si="3"/>
        <v>0</v>
      </c>
      <c r="L31">
        <f t="shared" si="4"/>
        <v>0</v>
      </c>
      <c r="M31" s="1">
        <f t="shared" si="5"/>
        <v>0</v>
      </c>
      <c r="N31">
        <f t="shared" si="6"/>
        <v>0</v>
      </c>
      <c r="O31">
        <f t="shared" si="7"/>
        <v>0</v>
      </c>
      <c r="AA31">
        <f>C31*OsloCTM2!AK31</f>
        <v>0</v>
      </c>
      <c r="AE31">
        <f t="shared" si="8"/>
        <v>0</v>
      </c>
    </row>
    <row r="32" spans="1:31" x14ac:dyDescent="0.25">
      <c r="B32" t="s">
        <v>33</v>
      </c>
      <c r="G32" s="1">
        <f t="shared" si="0"/>
        <v>0</v>
      </c>
      <c r="H32">
        <v>-999</v>
      </c>
      <c r="I32">
        <f t="shared" si="1"/>
        <v>0</v>
      </c>
      <c r="J32">
        <f t="shared" si="2"/>
        <v>0</v>
      </c>
      <c r="K32">
        <f t="shared" si="3"/>
        <v>0</v>
      </c>
      <c r="L32">
        <f t="shared" si="4"/>
        <v>0</v>
      </c>
      <c r="M32" s="1">
        <f t="shared" si="5"/>
        <v>0</v>
      </c>
      <c r="N32">
        <f t="shared" si="6"/>
        <v>0</v>
      </c>
      <c r="O32">
        <f t="shared" si="7"/>
        <v>0</v>
      </c>
      <c r="AA32">
        <f>C32*OsloCTM2!AK32</f>
        <v>0</v>
      </c>
      <c r="AE32">
        <f t="shared" si="8"/>
        <v>0</v>
      </c>
    </row>
    <row r="33" spans="1:31" x14ac:dyDescent="0.25">
      <c r="B33" t="s">
        <v>28</v>
      </c>
      <c r="C33">
        <f>C25+C27+C29</f>
        <v>-5.0617064999999997</v>
      </c>
      <c r="D33">
        <f t="shared" ref="D33:F33" si="30">D25+D27+D29</f>
        <v>-4.5431882999999997</v>
      </c>
      <c r="E33">
        <f t="shared" si="30"/>
        <v>-5.00756614215</v>
      </c>
      <c r="F33">
        <f t="shared" si="30"/>
        <v>-2.2701122667782139</v>
      </c>
      <c r="G33" s="1">
        <f t="shared" si="0"/>
        <v>-16.882573208928214</v>
      </c>
      <c r="H33">
        <f>H25+H27+H29</f>
        <v>-79.921530000000004</v>
      </c>
      <c r="I33">
        <f t="shared" ref="I33:I34" si="31">C33/H33</f>
        <v>6.333345345115389E-2</v>
      </c>
      <c r="J33">
        <f t="shared" ref="J33:J34" si="32">D33/H33</f>
        <v>5.6845612189856717E-2</v>
      </c>
      <c r="K33">
        <f t="shared" ref="K33:K34" si="33">E33/H33</f>
        <v>6.2656034514729633E-2</v>
      </c>
      <c r="L33">
        <f t="shared" ref="L33:L34" si="34">F33/H33</f>
        <v>2.8404264367539182E-2</v>
      </c>
      <c r="M33" s="1">
        <f t="shared" ref="M33:M34" si="35">G33/H33</f>
        <v>0.21123936452327943</v>
      </c>
      <c r="N33">
        <f t="shared" ref="N33:N34" si="36">SUM(I33:J33)</f>
        <v>0.12017906564101061</v>
      </c>
      <c r="O33">
        <f t="shared" ref="O33:O34" si="37">SUM(K33:L33)</f>
        <v>9.1060298882268811E-2</v>
      </c>
      <c r="AA33">
        <f>C33*OsloCTM2!AK33</f>
        <v>1.2809422848849323E-2</v>
      </c>
      <c r="AE33">
        <f t="shared" ref="AE33:AE34" si="38">AA33/H33</f>
        <v>-1.6027499534667719E-4</v>
      </c>
    </row>
    <row r="34" spans="1:31" x14ac:dyDescent="0.25">
      <c r="B34" t="s">
        <v>29</v>
      </c>
      <c r="C34">
        <f>C26+C28+C30</f>
        <v>-5.9943460000000002</v>
      </c>
      <c r="D34">
        <f t="shared" ref="D34:F34" si="39">D26+D28+D30</f>
        <v>-3.5097320000000001</v>
      </c>
      <c r="E34">
        <f t="shared" si="39"/>
        <v>-5.5721818778999994</v>
      </c>
      <c r="F34">
        <f t="shared" si="39"/>
        <v>-2.5260731610244886</v>
      </c>
      <c r="G34" s="1">
        <f t="shared" si="0"/>
        <v>-17.602333038924488</v>
      </c>
      <c r="H34">
        <f>H26+H28+H30</f>
        <v>-72.161280000000005</v>
      </c>
      <c r="I34">
        <f t="shared" si="31"/>
        <v>8.3068731596778772E-2</v>
      </c>
      <c r="J34">
        <f t="shared" si="32"/>
        <v>4.8637330158223357E-2</v>
      </c>
      <c r="K34">
        <f t="shared" si="33"/>
        <v>7.7218445652571563E-2</v>
      </c>
      <c r="L34">
        <f t="shared" si="34"/>
        <v>3.500593616167131E-2</v>
      </c>
      <c r="M34" s="1">
        <f t="shared" si="35"/>
        <v>0.24393044356924498</v>
      </c>
      <c r="N34">
        <f t="shared" si="36"/>
        <v>0.13170606175500213</v>
      </c>
      <c r="O34">
        <f t="shared" si="37"/>
        <v>0.11222438181424288</v>
      </c>
      <c r="AA34">
        <f>C34*OsloCTM2!AK34</f>
        <v>1.8703001387572724E-2</v>
      </c>
      <c r="AE34">
        <f t="shared" si="38"/>
        <v>-2.5918333748476639E-4</v>
      </c>
    </row>
    <row r="35" spans="1:31" x14ac:dyDescent="0.25">
      <c r="A35" t="s">
        <v>35</v>
      </c>
      <c r="B35" t="s">
        <v>24</v>
      </c>
      <c r="C35">
        <v>-7.67452E-2</v>
      </c>
      <c r="D35">
        <v>-3.54439E-2</v>
      </c>
      <c r="E35">
        <f t="shared" ref="E35:E40" si="40">1.15*S35*U35</f>
        <v>-2.491859238E-2</v>
      </c>
      <c r="F35" s="3">
        <f>E35/1.15*Methane!S3</f>
        <v>-1.1296506252116452E-2</v>
      </c>
      <c r="G35" s="1">
        <f t="shared" si="0"/>
        <v>-0.14840419863211646</v>
      </c>
      <c r="H35">
        <v>-5.63011E-2</v>
      </c>
      <c r="I35">
        <f t="shared" si="1"/>
        <v>1.3631207916008745</v>
      </c>
      <c r="J35">
        <f t="shared" si="2"/>
        <v>0.62954187395983385</v>
      </c>
      <c r="K35">
        <f t="shared" si="3"/>
        <v>0.44259512478441809</v>
      </c>
      <c r="L35">
        <f t="shared" si="4"/>
        <v>0.20064450343095344</v>
      </c>
      <c r="M35" s="1">
        <f t="shared" si="5"/>
        <v>2.6359022937760801</v>
      </c>
      <c r="N35">
        <f t="shared" si="6"/>
        <v>1.9926626655607085</v>
      </c>
      <c r="O35">
        <f t="shared" si="7"/>
        <v>0.64323962821537151</v>
      </c>
      <c r="S35">
        <v>-5.96924E-2</v>
      </c>
      <c r="U35">
        <v>0.36299999999999999</v>
      </c>
      <c r="W35">
        <v>0.14558862275449103</v>
      </c>
      <c r="AA35">
        <f>C35*OsloCTM2!AK35</f>
        <v>-8.6188819451048075E-4</v>
      </c>
      <c r="AE35">
        <f t="shared" si="8"/>
        <v>1.5308549824257089E-2</v>
      </c>
    </row>
    <row r="36" spans="1:31" x14ac:dyDescent="0.25">
      <c r="A36" t="s">
        <v>36</v>
      </c>
      <c r="B36" t="s">
        <v>25</v>
      </c>
      <c r="C36">
        <v>0.27518799999999999</v>
      </c>
      <c r="D36">
        <v>-6.0376600000000002E-2</v>
      </c>
      <c r="E36">
        <f t="shared" si="40"/>
        <v>-2.3389848734999996E-2</v>
      </c>
      <c r="F36" s="3">
        <f>E36/1.15*Methane!S3</f>
        <v>-1.0603471032459079E-2</v>
      </c>
      <c r="G36" s="1">
        <f t="shared" si="0"/>
        <v>0.18081808023254092</v>
      </c>
      <c r="H36">
        <v>-6.6850699999999999E-2</v>
      </c>
      <c r="I36">
        <f t="shared" si="1"/>
        <v>-4.1164565217716493</v>
      </c>
      <c r="J36">
        <f t="shared" si="2"/>
        <v>0.90315583830834989</v>
      </c>
      <c r="K36">
        <f t="shared" si="3"/>
        <v>0.34988188208949189</v>
      </c>
      <c r="L36">
        <f t="shared" si="4"/>
        <v>0.15861421095753789</v>
      </c>
      <c r="M36" s="1">
        <f t="shared" si="5"/>
        <v>-2.7048045904162699</v>
      </c>
      <c r="N36">
        <f t="shared" si="6"/>
        <v>-3.2133006834632996</v>
      </c>
      <c r="O36">
        <f t="shared" si="7"/>
        <v>0.50849609304702981</v>
      </c>
      <c r="S36">
        <v>-5.6030299999999998E-2</v>
      </c>
      <c r="U36">
        <v>0.36299999999999999</v>
      </c>
      <c r="W36">
        <v>0.14558862275449103</v>
      </c>
      <c r="AA36">
        <f>C36*OsloCTM2!AK36</f>
        <v>1.6658877818585729E-2</v>
      </c>
      <c r="AE36">
        <f t="shared" si="8"/>
        <v>-0.24919526375319526</v>
      </c>
    </row>
    <row r="37" spans="1:31" x14ac:dyDescent="0.25">
      <c r="B37" t="s">
        <v>26</v>
      </c>
      <c r="C37">
        <v>2.7559199999999999E-2</v>
      </c>
      <c r="D37">
        <v>-0.16900000000000001</v>
      </c>
      <c r="E37">
        <f t="shared" si="40"/>
        <v>-4.6677589199999994E-2</v>
      </c>
      <c r="F37" s="3">
        <f>E37/1.15*Methane!S3</f>
        <v>-2.1160652664102178E-2</v>
      </c>
      <c r="G37" s="1">
        <f t="shared" si="0"/>
        <v>-0.20927904186410218</v>
      </c>
      <c r="H37">
        <v>-0.14518900000000001</v>
      </c>
      <c r="I37">
        <f t="shared" si="1"/>
        <v>-0.189816032895054</v>
      </c>
      <c r="J37">
        <f t="shared" si="2"/>
        <v>1.1640000275502964</v>
      </c>
      <c r="K37">
        <f t="shared" si="3"/>
        <v>0.32149535570876575</v>
      </c>
      <c r="L37">
        <f t="shared" si="4"/>
        <v>0.14574556381063425</v>
      </c>
      <c r="M37" s="1">
        <f t="shared" si="5"/>
        <v>1.4414249141746425</v>
      </c>
      <c r="N37">
        <f t="shared" si="6"/>
        <v>0.97418399465524241</v>
      </c>
      <c r="O37">
        <f t="shared" si="7"/>
        <v>0.4672409195194</v>
      </c>
      <c r="S37">
        <v>-0.111816</v>
      </c>
      <c r="U37">
        <v>0.36299999999999999</v>
      </c>
      <c r="W37">
        <v>0.14558862275449103</v>
      </c>
      <c r="AA37">
        <f>C37*OsloCTM2!AK37</f>
        <v>3.6408481899657063E-4</v>
      </c>
      <c r="AE37">
        <f t="shared" si="8"/>
        <v>-2.5076611795423246E-3</v>
      </c>
    </row>
    <row r="38" spans="1:31" x14ac:dyDescent="0.25">
      <c r="B38" t="s">
        <v>27</v>
      </c>
      <c r="C38">
        <v>0.48725800000000002</v>
      </c>
      <c r="D38">
        <v>-0.14799300000000001</v>
      </c>
      <c r="E38">
        <f t="shared" si="40"/>
        <v>-8.8667214899999999E-2</v>
      </c>
      <c r="F38" s="3">
        <f>E38/1.15*Methane!S3</f>
        <v>-4.0196080589187874E-2</v>
      </c>
      <c r="G38" s="1">
        <f t="shared" si="0"/>
        <v>0.21040170451081214</v>
      </c>
      <c r="H38">
        <v>-0.18904899999999999</v>
      </c>
      <c r="I38">
        <f t="shared" si="1"/>
        <v>-2.5774164370083947</v>
      </c>
      <c r="J38">
        <f t="shared" si="2"/>
        <v>0.78282879041941511</v>
      </c>
      <c r="K38">
        <f t="shared" si="3"/>
        <v>0.46901710614708358</v>
      </c>
      <c r="L38">
        <f t="shared" si="4"/>
        <v>0.21262255071006922</v>
      </c>
      <c r="M38" s="1">
        <f t="shared" si="5"/>
        <v>-1.1129479897318268</v>
      </c>
      <c r="N38">
        <f t="shared" si="6"/>
        <v>-1.7945876465889796</v>
      </c>
      <c r="O38">
        <f t="shared" si="7"/>
        <v>0.68163965685715278</v>
      </c>
      <c r="S38">
        <v>-0.21240200000000001</v>
      </c>
      <c r="U38">
        <v>0.36299999999999999</v>
      </c>
      <c r="W38">
        <v>0.14558862275449103</v>
      </c>
      <c r="AA38">
        <f>C38*OsloCTM2!AK38</f>
        <v>-0.21080688919973908</v>
      </c>
      <c r="AE38">
        <f t="shared" si="8"/>
        <v>1.1150912683999339</v>
      </c>
    </row>
    <row r="39" spans="1:31" x14ac:dyDescent="0.25">
      <c r="B39" t="s">
        <v>134</v>
      </c>
      <c r="C39">
        <v>-1.0139499999999999</v>
      </c>
      <c r="D39">
        <v>-1.41595</v>
      </c>
      <c r="E39">
        <f t="shared" si="40"/>
        <v>-0.53975032649999988</v>
      </c>
      <c r="F39" s="3">
        <f>E39/1.15*Methane!S3</f>
        <v>-0.2446884978456052</v>
      </c>
      <c r="G39" s="1">
        <f t="shared" si="0"/>
        <v>-3.2143388243456052</v>
      </c>
      <c r="H39">
        <v>-1.44339</v>
      </c>
      <c r="I39">
        <f t="shared" si="1"/>
        <v>0.70247819369678322</v>
      </c>
      <c r="J39">
        <f t="shared" si="2"/>
        <v>0.980989199038375</v>
      </c>
      <c r="K39">
        <f t="shared" si="3"/>
        <v>0.37394628374867495</v>
      </c>
      <c r="L39">
        <f t="shared" si="4"/>
        <v>0.16952348141916268</v>
      </c>
      <c r="M39" s="1">
        <f t="shared" si="5"/>
        <v>2.226937157902996</v>
      </c>
      <c r="N39">
        <f t="shared" si="6"/>
        <v>1.6834673927351582</v>
      </c>
      <c r="O39">
        <f t="shared" si="7"/>
        <v>0.54346976516783763</v>
      </c>
      <c r="S39">
        <v>-1.29297</v>
      </c>
      <c r="U39">
        <v>0.36299999999999999</v>
      </c>
      <c r="W39">
        <v>0.14558862275449103</v>
      </c>
      <c r="AA39">
        <f>C39*OsloCTM2!AK39</f>
        <v>9.2905718568575598E-3</v>
      </c>
      <c r="AE39">
        <f t="shared" si="8"/>
        <v>-6.4366331046062115E-3</v>
      </c>
    </row>
    <row r="40" spans="1:31" x14ac:dyDescent="0.25">
      <c r="B40" t="s">
        <v>135</v>
      </c>
      <c r="C40">
        <v>-0.976186</v>
      </c>
      <c r="D40">
        <v>-0.96678500000000001</v>
      </c>
      <c r="E40">
        <f t="shared" si="40"/>
        <v>-0.57863161949999986</v>
      </c>
      <c r="F40" s="3">
        <f>E40/1.15*Methane!S3</f>
        <v>-0.26231480525361905</v>
      </c>
      <c r="G40" s="1">
        <f t="shared" si="0"/>
        <v>-2.7839174247536187</v>
      </c>
      <c r="H40">
        <v>-1.0580400000000001</v>
      </c>
      <c r="I40">
        <f t="shared" si="1"/>
        <v>0.92263619522891371</v>
      </c>
      <c r="J40">
        <f t="shared" si="2"/>
        <v>0.91375089788665831</v>
      </c>
      <c r="K40">
        <f t="shared" si="3"/>
        <v>0.54689011710332291</v>
      </c>
      <c r="L40">
        <f t="shared" si="4"/>
        <v>0.24792522518394297</v>
      </c>
      <c r="M40" s="1">
        <f t="shared" si="5"/>
        <v>2.6312024354028378</v>
      </c>
      <c r="N40">
        <f t="shared" si="6"/>
        <v>1.8363870931155719</v>
      </c>
      <c r="O40">
        <f t="shared" si="7"/>
        <v>0.79481534228726591</v>
      </c>
      <c r="S40">
        <v>-1.38611</v>
      </c>
      <c r="U40">
        <v>0.36299999999999999</v>
      </c>
      <c r="W40">
        <v>0.14558862275449103</v>
      </c>
      <c r="AA40">
        <f>C40*OsloCTM2!AK40</f>
        <v>3.1292477910599949E-2</v>
      </c>
      <c r="AE40">
        <f t="shared" si="8"/>
        <v>-2.9575893076443184E-2</v>
      </c>
    </row>
    <row r="41" spans="1:31" x14ac:dyDescent="0.25">
      <c r="B41" t="s">
        <v>32</v>
      </c>
      <c r="G41" s="1">
        <f t="shared" si="0"/>
        <v>0</v>
      </c>
      <c r="H41">
        <v>-999</v>
      </c>
      <c r="I41">
        <f t="shared" si="1"/>
        <v>0</v>
      </c>
      <c r="J41">
        <f t="shared" si="2"/>
        <v>0</v>
      </c>
      <c r="K41">
        <f t="shared" si="3"/>
        <v>0</v>
      </c>
      <c r="L41">
        <f t="shared" si="4"/>
        <v>0</v>
      </c>
      <c r="M41" s="1">
        <f t="shared" si="5"/>
        <v>0</v>
      </c>
      <c r="N41">
        <f t="shared" si="6"/>
        <v>0</v>
      </c>
      <c r="O41">
        <f t="shared" si="7"/>
        <v>0</v>
      </c>
      <c r="AA41">
        <f>C41*OsloCTM2!AK41</f>
        <v>0</v>
      </c>
      <c r="AE41">
        <f t="shared" si="8"/>
        <v>0</v>
      </c>
    </row>
    <row r="42" spans="1:31" x14ac:dyDescent="0.25">
      <c r="B42" t="s">
        <v>33</v>
      </c>
      <c r="G42" s="1">
        <f t="shared" si="0"/>
        <v>0</v>
      </c>
      <c r="H42">
        <v>-999</v>
      </c>
      <c r="I42">
        <f t="shared" si="1"/>
        <v>0</v>
      </c>
      <c r="J42">
        <f t="shared" si="2"/>
        <v>0</v>
      </c>
      <c r="K42">
        <f t="shared" si="3"/>
        <v>0</v>
      </c>
      <c r="L42">
        <f t="shared" si="4"/>
        <v>0</v>
      </c>
      <c r="M42" s="1">
        <f t="shared" si="5"/>
        <v>0</v>
      </c>
      <c r="N42">
        <f t="shared" si="6"/>
        <v>0</v>
      </c>
      <c r="O42">
        <f t="shared" si="7"/>
        <v>0</v>
      </c>
      <c r="AA42">
        <f>C42*OsloCTM2!AK42</f>
        <v>0</v>
      </c>
      <c r="AE42">
        <f t="shared" si="8"/>
        <v>0</v>
      </c>
    </row>
    <row r="43" spans="1:31" x14ac:dyDescent="0.25">
      <c r="B43" t="s">
        <v>28</v>
      </c>
      <c r="C43">
        <f>C35+C37+C39</f>
        <v>-1.0631359999999999</v>
      </c>
      <c r="D43">
        <f t="shared" ref="D43:H43" si="41">D35+D37+D39</f>
        <v>-1.6203939000000001</v>
      </c>
      <c r="E43">
        <f t="shared" si="41"/>
        <v>-0.61134650807999991</v>
      </c>
      <c r="F43">
        <f t="shared" si="41"/>
        <v>-0.27714565676182384</v>
      </c>
      <c r="G43" s="1">
        <f t="shared" si="0"/>
        <v>-3.5720220648418239</v>
      </c>
      <c r="H43">
        <f t="shared" si="41"/>
        <v>-1.6448801</v>
      </c>
      <c r="I43">
        <f t="shared" ref="I43:I44" si="42">C43/H43</f>
        <v>0.64633039210578325</v>
      </c>
      <c r="J43">
        <f t="shared" ref="J43:J44" si="43">D43/H43</f>
        <v>0.98511368700977053</v>
      </c>
      <c r="K43">
        <f t="shared" ref="K43:K44" si="44">E43/H43</f>
        <v>0.37166630448018667</v>
      </c>
      <c r="L43">
        <f t="shared" ref="L43:L44" si="45">F43/H43</f>
        <v>0.16848988370752607</v>
      </c>
      <c r="M43" s="1">
        <f t="shared" ref="M43:M44" si="46">G43/H43</f>
        <v>2.1716002673032668</v>
      </c>
      <c r="N43">
        <f t="shared" ref="N43:N44" si="47">SUM(I43:J43)</f>
        <v>1.6314440791155538</v>
      </c>
      <c r="O43">
        <f t="shared" ref="O43:O44" si="48">SUM(K43:L43)</f>
        <v>0.54015618818771272</v>
      </c>
      <c r="AA43">
        <f>C43*OsloCTM2!AK43</f>
        <v>7.4169074962726639E-3</v>
      </c>
      <c r="AE43">
        <f t="shared" ref="AE43:AE44" si="49">AA43/H43</f>
        <v>-4.5090870126477086E-3</v>
      </c>
    </row>
    <row r="44" spans="1:31" x14ac:dyDescent="0.25">
      <c r="B44" t="s">
        <v>29</v>
      </c>
      <c r="C44">
        <f>C36+C38+C40</f>
        <v>-0.21374000000000004</v>
      </c>
      <c r="D44">
        <f t="shared" ref="D44:F44" si="50">D36+D38+D40</f>
        <v>-1.1751545999999999</v>
      </c>
      <c r="E44">
        <f t="shared" si="50"/>
        <v>-0.69068868313499987</v>
      </c>
      <c r="F44">
        <f t="shared" si="50"/>
        <v>-0.31311435687526601</v>
      </c>
      <c r="G44" s="1">
        <f t="shared" si="0"/>
        <v>-2.3926976400102657</v>
      </c>
      <c r="H44">
        <f>H36+H38+H40</f>
        <v>-1.3139397000000002</v>
      </c>
      <c r="I44">
        <f t="shared" si="42"/>
        <v>0.16267108756969595</v>
      </c>
      <c r="J44">
        <f t="shared" si="43"/>
        <v>0.89437483318298383</v>
      </c>
      <c r="K44">
        <f t="shared" si="44"/>
        <v>0.52566239008913407</v>
      </c>
      <c r="L44">
        <f t="shared" si="45"/>
        <v>0.23830192274064477</v>
      </c>
      <c r="M44" s="1">
        <f t="shared" si="46"/>
        <v>1.8210102335824585</v>
      </c>
      <c r="N44">
        <f t="shared" si="47"/>
        <v>1.0570459207526799</v>
      </c>
      <c r="O44">
        <f t="shared" si="48"/>
        <v>0.76396431282977884</v>
      </c>
      <c r="AA44">
        <f>C44*OsloCTM2!AK44</f>
        <v>1.1693741284931603E-2</v>
      </c>
      <c r="AE44">
        <f t="shared" si="49"/>
        <v>-8.8997549011812348E-3</v>
      </c>
    </row>
    <row r="45" spans="1:31" x14ac:dyDescent="0.25">
      <c r="A45" t="s">
        <v>37</v>
      </c>
      <c r="B45" t="s">
        <v>24</v>
      </c>
      <c r="C45">
        <v>-1.9870099999999999</v>
      </c>
      <c r="G45" s="1">
        <f t="shared" si="0"/>
        <v>-1.9870099999999999</v>
      </c>
      <c r="H45">
        <v>-3.1302000000000003E-2</v>
      </c>
      <c r="I45">
        <f t="shared" si="1"/>
        <v>63.478691457414854</v>
      </c>
      <c r="J45">
        <f t="shared" si="2"/>
        <v>0</v>
      </c>
      <c r="K45">
        <f t="shared" si="3"/>
        <v>0</v>
      </c>
      <c r="L45">
        <f t="shared" si="4"/>
        <v>0</v>
      </c>
      <c r="M45" s="1">
        <f t="shared" si="5"/>
        <v>63.478691457414854</v>
      </c>
      <c r="N45">
        <f t="shared" si="6"/>
        <v>63.478691457414854</v>
      </c>
      <c r="O45">
        <f t="shared" si="7"/>
        <v>0</v>
      </c>
      <c r="AA45">
        <f>C45*OsloCTM2!AK45</f>
        <v>0</v>
      </c>
      <c r="AE45">
        <f t="shared" si="8"/>
        <v>0</v>
      </c>
    </row>
    <row r="46" spans="1:31" x14ac:dyDescent="0.25">
      <c r="A46" t="s">
        <v>36</v>
      </c>
      <c r="B46" t="s">
        <v>25</v>
      </c>
      <c r="C46">
        <v>-1.8236000000000001</v>
      </c>
      <c r="G46" s="1">
        <f t="shared" si="0"/>
        <v>-1.8236000000000001</v>
      </c>
      <c r="H46">
        <v>-4.8613999999999997E-2</v>
      </c>
      <c r="I46">
        <f t="shared" si="1"/>
        <v>37.511827868515248</v>
      </c>
      <c r="J46">
        <f t="shared" si="2"/>
        <v>0</v>
      </c>
      <c r="K46">
        <f t="shared" si="3"/>
        <v>0</v>
      </c>
      <c r="L46">
        <f t="shared" si="4"/>
        <v>0</v>
      </c>
      <c r="M46" s="1">
        <f t="shared" si="5"/>
        <v>37.511827868515248</v>
      </c>
      <c r="N46">
        <f t="shared" si="6"/>
        <v>37.511827868515248</v>
      </c>
      <c r="O46">
        <f t="shared" si="7"/>
        <v>0</v>
      </c>
      <c r="AA46">
        <f>C46*OsloCTM2!AK46</f>
        <v>0</v>
      </c>
      <c r="AE46">
        <f t="shared" si="8"/>
        <v>0</v>
      </c>
    </row>
    <row r="47" spans="1:31" x14ac:dyDescent="0.25">
      <c r="B47" t="s">
        <v>26</v>
      </c>
      <c r="C47">
        <v>-3.5843600000000002</v>
      </c>
      <c r="G47" s="1">
        <f t="shared" si="0"/>
        <v>-3.5843600000000002</v>
      </c>
      <c r="H47">
        <v>-0.11036</v>
      </c>
      <c r="I47">
        <f t="shared" si="1"/>
        <v>32.478796665458503</v>
      </c>
      <c r="J47">
        <f t="shared" si="2"/>
        <v>0</v>
      </c>
      <c r="K47">
        <f t="shared" si="3"/>
        <v>0</v>
      </c>
      <c r="L47">
        <f t="shared" si="4"/>
        <v>0</v>
      </c>
      <c r="M47" s="1">
        <f t="shared" si="5"/>
        <v>32.478796665458503</v>
      </c>
      <c r="N47">
        <f t="shared" si="6"/>
        <v>32.478796665458503</v>
      </c>
      <c r="O47">
        <f t="shared" si="7"/>
        <v>0</v>
      </c>
      <c r="AA47">
        <f>C47*OsloCTM2!AK47</f>
        <v>0</v>
      </c>
      <c r="AE47">
        <f t="shared" si="8"/>
        <v>0</v>
      </c>
    </row>
    <row r="48" spans="1:31" x14ac:dyDescent="0.25">
      <c r="B48" t="s">
        <v>27</v>
      </c>
      <c r="C48">
        <v>3.2685499999999998</v>
      </c>
      <c r="G48" s="1">
        <f t="shared" si="0"/>
        <v>3.2685499999999998</v>
      </c>
      <c r="H48">
        <v>-0.17721300000000001</v>
      </c>
      <c r="I48">
        <f t="shared" si="1"/>
        <v>-18.44418863175952</v>
      </c>
      <c r="J48">
        <f t="shared" si="2"/>
        <v>0</v>
      </c>
      <c r="K48">
        <f t="shared" si="3"/>
        <v>0</v>
      </c>
      <c r="L48">
        <f t="shared" si="4"/>
        <v>0</v>
      </c>
      <c r="M48" s="1">
        <f t="shared" si="5"/>
        <v>-18.44418863175952</v>
      </c>
      <c r="N48">
        <f t="shared" si="6"/>
        <v>-18.44418863175952</v>
      </c>
      <c r="O48">
        <f t="shared" si="7"/>
        <v>0</v>
      </c>
      <c r="AA48">
        <f>C48*OsloCTM2!AK48</f>
        <v>0</v>
      </c>
      <c r="AE48">
        <f t="shared" si="8"/>
        <v>0</v>
      </c>
    </row>
    <row r="49" spans="1:31" x14ac:dyDescent="0.25">
      <c r="B49" t="s">
        <v>134</v>
      </c>
      <c r="C49">
        <v>-67.576599999999999</v>
      </c>
      <c r="G49" s="1">
        <f t="shared" si="0"/>
        <v>-67.576599999999999</v>
      </c>
      <c r="H49">
        <v>-0.31334000000000001</v>
      </c>
      <c r="I49">
        <f t="shared" si="1"/>
        <v>215.66541137422607</v>
      </c>
      <c r="J49">
        <f t="shared" si="2"/>
        <v>0</v>
      </c>
      <c r="K49">
        <f t="shared" si="3"/>
        <v>0</v>
      </c>
      <c r="L49">
        <f t="shared" si="4"/>
        <v>0</v>
      </c>
      <c r="M49" s="1">
        <f t="shared" si="5"/>
        <v>215.66541137422607</v>
      </c>
      <c r="N49">
        <f t="shared" si="6"/>
        <v>215.66541137422607</v>
      </c>
      <c r="O49">
        <f t="shared" si="7"/>
        <v>0</v>
      </c>
      <c r="AA49">
        <f>C49*OsloCTM2!AK49</f>
        <v>0</v>
      </c>
      <c r="AE49">
        <f t="shared" si="8"/>
        <v>0</v>
      </c>
    </row>
    <row r="50" spans="1:31" x14ac:dyDescent="0.25">
      <c r="B50" t="s">
        <v>135</v>
      </c>
      <c r="C50">
        <v>-44.451700000000002</v>
      </c>
      <c r="G50" s="1">
        <f t="shared" si="0"/>
        <v>-44.451700000000002</v>
      </c>
      <c r="H50">
        <v>-0.32152799999999998</v>
      </c>
      <c r="I50">
        <f t="shared" si="1"/>
        <v>138.25141200766342</v>
      </c>
      <c r="J50">
        <f t="shared" si="2"/>
        <v>0</v>
      </c>
      <c r="K50">
        <f t="shared" si="3"/>
        <v>0</v>
      </c>
      <c r="L50">
        <f t="shared" si="4"/>
        <v>0</v>
      </c>
      <c r="M50" s="1">
        <f t="shared" si="5"/>
        <v>138.25141200766342</v>
      </c>
      <c r="N50">
        <f t="shared" si="6"/>
        <v>138.25141200766342</v>
      </c>
      <c r="O50">
        <f t="shared" si="7"/>
        <v>0</v>
      </c>
      <c r="AA50">
        <f>C50*OsloCTM2!AK50</f>
        <v>0</v>
      </c>
      <c r="AE50">
        <f t="shared" si="8"/>
        <v>0</v>
      </c>
    </row>
    <row r="51" spans="1:31" x14ac:dyDescent="0.25">
      <c r="B51" t="s">
        <v>32</v>
      </c>
      <c r="G51" s="1">
        <f t="shared" si="0"/>
        <v>0</v>
      </c>
      <c r="H51">
        <v>-999</v>
      </c>
      <c r="I51">
        <f t="shared" si="1"/>
        <v>0</v>
      </c>
      <c r="J51">
        <f t="shared" si="2"/>
        <v>0</v>
      </c>
      <c r="K51">
        <f t="shared" si="3"/>
        <v>0</v>
      </c>
      <c r="L51">
        <f t="shared" si="4"/>
        <v>0</v>
      </c>
      <c r="M51" s="1">
        <f t="shared" si="5"/>
        <v>0</v>
      </c>
      <c r="N51">
        <f t="shared" si="6"/>
        <v>0</v>
      </c>
      <c r="O51">
        <f t="shared" si="7"/>
        <v>0</v>
      </c>
      <c r="AA51">
        <f>C51*OsloCTM2!AK51</f>
        <v>0</v>
      </c>
      <c r="AE51">
        <f t="shared" si="8"/>
        <v>0</v>
      </c>
    </row>
    <row r="52" spans="1:31" x14ac:dyDescent="0.25">
      <c r="B52" t="s">
        <v>33</v>
      </c>
      <c r="G52" s="1">
        <f t="shared" si="0"/>
        <v>0</v>
      </c>
      <c r="H52">
        <v>-999</v>
      </c>
      <c r="I52">
        <f t="shared" si="1"/>
        <v>0</v>
      </c>
      <c r="J52">
        <f t="shared" si="2"/>
        <v>0</v>
      </c>
      <c r="K52">
        <f t="shared" si="3"/>
        <v>0</v>
      </c>
      <c r="L52">
        <f t="shared" si="4"/>
        <v>0</v>
      </c>
      <c r="M52" s="1">
        <f t="shared" si="5"/>
        <v>0</v>
      </c>
      <c r="N52">
        <f t="shared" si="6"/>
        <v>0</v>
      </c>
      <c r="O52">
        <f t="shared" si="7"/>
        <v>0</v>
      </c>
      <c r="AA52">
        <f>C52*OsloCTM2!AK52</f>
        <v>0</v>
      </c>
      <c r="AE52">
        <f t="shared" si="8"/>
        <v>0</v>
      </c>
    </row>
    <row r="53" spans="1:31" x14ac:dyDescent="0.25">
      <c r="B53" t="s">
        <v>28</v>
      </c>
      <c r="C53">
        <f>C45+C47+C49</f>
        <v>-73.147970000000001</v>
      </c>
      <c r="G53" s="1">
        <f t="shared" si="0"/>
        <v>-73.147970000000001</v>
      </c>
      <c r="H53">
        <f>H45+H47+H49</f>
        <v>-0.45500200000000002</v>
      </c>
      <c r="I53">
        <f t="shared" ref="I53:I54" si="51">C53/H53</f>
        <v>160.7640625755491</v>
      </c>
      <c r="J53">
        <f t="shared" ref="J53:J54" si="52">D53/H53</f>
        <v>0</v>
      </c>
      <c r="K53">
        <f t="shared" ref="K53:K54" si="53">E53/H53</f>
        <v>0</v>
      </c>
      <c r="L53">
        <f t="shared" ref="L53:L54" si="54">F53/H53</f>
        <v>0</v>
      </c>
      <c r="M53" s="1">
        <f t="shared" ref="M53:M54" si="55">G53/H53</f>
        <v>160.7640625755491</v>
      </c>
      <c r="N53">
        <f t="shared" ref="N53:N54" si="56">SUM(I53:J53)</f>
        <v>160.7640625755491</v>
      </c>
      <c r="O53">
        <f t="shared" ref="O53:O54" si="57">SUM(K53:L53)</f>
        <v>0</v>
      </c>
      <c r="AA53">
        <f>C53*OsloCTM2!AK53</f>
        <v>0</v>
      </c>
      <c r="AE53">
        <f t="shared" ref="AE53:AE54" si="58">AA53/H53</f>
        <v>0</v>
      </c>
    </row>
    <row r="54" spans="1:31" x14ac:dyDescent="0.25">
      <c r="B54" t="s">
        <v>29</v>
      </c>
      <c r="C54">
        <f>C46+C48+C50</f>
        <v>-43.006750000000004</v>
      </c>
      <c r="G54" s="1">
        <f t="shared" si="0"/>
        <v>-43.006750000000004</v>
      </c>
      <c r="H54">
        <f>H46+H48+H50</f>
        <v>-0.54735500000000004</v>
      </c>
      <c r="I54">
        <f t="shared" si="51"/>
        <v>78.57195056224937</v>
      </c>
      <c r="J54">
        <f t="shared" si="52"/>
        <v>0</v>
      </c>
      <c r="K54">
        <f t="shared" si="53"/>
        <v>0</v>
      </c>
      <c r="L54">
        <f t="shared" si="54"/>
        <v>0</v>
      </c>
      <c r="M54" s="1">
        <f t="shared" si="55"/>
        <v>78.57195056224937</v>
      </c>
      <c r="N54">
        <f t="shared" si="56"/>
        <v>78.57195056224937</v>
      </c>
      <c r="O54">
        <f t="shared" si="57"/>
        <v>0</v>
      </c>
      <c r="AA54">
        <f>C54*OsloCTM2!AK54</f>
        <v>0</v>
      </c>
      <c r="AE54">
        <f t="shared" si="58"/>
        <v>0</v>
      </c>
    </row>
    <row r="55" spans="1:31" x14ac:dyDescent="0.25">
      <c r="A55" t="s">
        <v>38</v>
      </c>
      <c r="B55" t="s">
        <v>24</v>
      </c>
      <c r="C55">
        <v>-9.3032299999999998E-2</v>
      </c>
      <c r="G55" s="1">
        <f t="shared" si="0"/>
        <v>-9.3032299999999998E-2</v>
      </c>
      <c r="H55">
        <v>-3.9485899999999997E-2</v>
      </c>
      <c r="I55">
        <f t="shared" si="1"/>
        <v>2.3560891356154983</v>
      </c>
      <c r="J55">
        <f t="shared" si="2"/>
        <v>0</v>
      </c>
      <c r="K55">
        <f t="shared" si="3"/>
        <v>0</v>
      </c>
      <c r="L55">
        <f t="shared" si="4"/>
        <v>0</v>
      </c>
      <c r="M55" s="1">
        <f t="shared" si="5"/>
        <v>2.3560891356154983</v>
      </c>
      <c r="N55">
        <f t="shared" si="6"/>
        <v>2.3560891356154983</v>
      </c>
      <c r="O55">
        <f t="shared" si="7"/>
        <v>0</v>
      </c>
      <c r="AA55">
        <f>C55*OsloCTM2!AK55</f>
        <v>0</v>
      </c>
      <c r="AE55">
        <f t="shared" si="8"/>
        <v>0</v>
      </c>
    </row>
    <row r="56" spans="1:31" x14ac:dyDescent="0.25">
      <c r="A56" t="s">
        <v>36</v>
      </c>
      <c r="B56" t="s">
        <v>25</v>
      </c>
      <c r="C56">
        <v>-1.03211E-2</v>
      </c>
      <c r="G56" s="1">
        <f t="shared" si="0"/>
        <v>-1.03211E-2</v>
      </c>
      <c r="H56">
        <v>-6.8939200000000006E-2</v>
      </c>
      <c r="I56">
        <f t="shared" si="1"/>
        <v>0.14971308051152318</v>
      </c>
      <c r="J56">
        <f t="shared" si="2"/>
        <v>0</v>
      </c>
      <c r="K56">
        <f t="shared" si="3"/>
        <v>0</v>
      </c>
      <c r="L56">
        <f t="shared" si="4"/>
        <v>0</v>
      </c>
      <c r="M56" s="1">
        <f t="shared" si="5"/>
        <v>0.14971308051152318</v>
      </c>
      <c r="N56">
        <f t="shared" si="6"/>
        <v>0.14971308051152318</v>
      </c>
      <c r="O56">
        <f t="shared" si="7"/>
        <v>0</v>
      </c>
      <c r="AA56">
        <f>C56*OsloCTM2!AK56</f>
        <v>0</v>
      </c>
      <c r="AE56">
        <f t="shared" si="8"/>
        <v>0</v>
      </c>
    </row>
    <row r="57" spans="1:31" x14ac:dyDescent="0.25">
      <c r="A57" t="s">
        <v>54</v>
      </c>
      <c r="B57" t="s">
        <v>26</v>
      </c>
      <c r="C57">
        <v>0.13722200000000001</v>
      </c>
      <c r="G57" s="1">
        <f t="shared" si="0"/>
        <v>0.13722200000000001</v>
      </c>
      <c r="H57">
        <v>-0.21514900000000001</v>
      </c>
      <c r="I57">
        <f t="shared" si="1"/>
        <v>-0.63779985033627862</v>
      </c>
      <c r="J57">
        <f t="shared" si="2"/>
        <v>0</v>
      </c>
      <c r="K57">
        <f t="shared" si="3"/>
        <v>0</v>
      </c>
      <c r="L57">
        <f t="shared" si="4"/>
        <v>0</v>
      </c>
      <c r="M57" s="1">
        <f t="shared" si="5"/>
        <v>-0.63779985033627862</v>
      </c>
      <c r="N57">
        <f t="shared" si="6"/>
        <v>-0.63779985033627862</v>
      </c>
      <c r="O57">
        <f t="shared" si="7"/>
        <v>0</v>
      </c>
      <c r="AA57">
        <f>C57*OsloCTM2!AK57</f>
        <v>0</v>
      </c>
      <c r="AE57">
        <f t="shared" si="8"/>
        <v>0</v>
      </c>
    </row>
    <row r="58" spans="1:31" x14ac:dyDescent="0.25">
      <c r="A58">
        <v>1.4</v>
      </c>
      <c r="B58" t="s">
        <v>27</v>
      </c>
      <c r="C58">
        <v>-0.94772100000000004</v>
      </c>
      <c r="G58" s="1">
        <f t="shared" si="0"/>
        <v>-0.94772100000000004</v>
      </c>
      <c r="H58">
        <v>-0.36713200000000001</v>
      </c>
      <c r="I58">
        <f t="shared" si="1"/>
        <v>2.5814175827767669</v>
      </c>
      <c r="J58">
        <f t="shared" si="2"/>
        <v>0</v>
      </c>
      <c r="K58">
        <f t="shared" si="3"/>
        <v>0</v>
      </c>
      <c r="L58">
        <f t="shared" si="4"/>
        <v>0</v>
      </c>
      <c r="M58" s="1">
        <f t="shared" si="5"/>
        <v>2.5814175827767669</v>
      </c>
      <c r="N58">
        <f t="shared" si="6"/>
        <v>2.5814175827767669</v>
      </c>
      <c r="O58">
        <f t="shared" si="7"/>
        <v>0</v>
      </c>
      <c r="AA58">
        <f>C58*OsloCTM2!AK58</f>
        <v>0</v>
      </c>
      <c r="AE58">
        <f t="shared" si="8"/>
        <v>0</v>
      </c>
    </row>
    <row r="59" spans="1:31" x14ac:dyDescent="0.25">
      <c r="B59" t="s">
        <v>134</v>
      </c>
      <c r="C59">
        <v>46.601799999999997</v>
      </c>
      <c r="G59" s="1">
        <f t="shared" si="0"/>
        <v>46.601799999999997</v>
      </c>
      <c r="H59">
        <v>-0.74345099999999997</v>
      </c>
      <c r="I59">
        <f t="shared" si="1"/>
        <v>-62.683082005404522</v>
      </c>
      <c r="J59">
        <f t="shared" si="2"/>
        <v>0</v>
      </c>
      <c r="K59">
        <f t="shared" si="3"/>
        <v>0</v>
      </c>
      <c r="L59">
        <f t="shared" si="4"/>
        <v>0</v>
      </c>
      <c r="M59" s="1">
        <f t="shared" si="5"/>
        <v>-62.683082005404522</v>
      </c>
      <c r="N59">
        <f t="shared" si="6"/>
        <v>-62.683082005404522</v>
      </c>
      <c r="O59">
        <f t="shared" si="7"/>
        <v>0</v>
      </c>
      <c r="AA59">
        <f>C59*OsloCTM2!AK59</f>
        <v>0</v>
      </c>
      <c r="AE59">
        <f t="shared" si="8"/>
        <v>0</v>
      </c>
    </row>
    <row r="60" spans="1:31" x14ac:dyDescent="0.25">
      <c r="B60" t="s">
        <v>135</v>
      </c>
      <c r="C60">
        <v>35.695999999999998</v>
      </c>
      <c r="G60" s="1">
        <f t="shared" si="0"/>
        <v>35.695999999999998</v>
      </c>
      <c r="H60">
        <v>-0.76317000000000002</v>
      </c>
      <c r="I60">
        <f t="shared" si="1"/>
        <v>-46.773327043777925</v>
      </c>
      <c r="J60">
        <f t="shared" si="2"/>
        <v>0</v>
      </c>
      <c r="K60">
        <f t="shared" si="3"/>
        <v>0</v>
      </c>
      <c r="L60">
        <f t="shared" si="4"/>
        <v>0</v>
      </c>
      <c r="M60" s="1">
        <f t="shared" si="5"/>
        <v>-46.773327043777925</v>
      </c>
      <c r="N60">
        <f t="shared" si="6"/>
        <v>-46.773327043777925</v>
      </c>
      <c r="O60">
        <f t="shared" si="7"/>
        <v>0</v>
      </c>
      <c r="AA60">
        <f>C60*OsloCTM2!AK60</f>
        <v>0</v>
      </c>
      <c r="AE60">
        <f t="shared" si="8"/>
        <v>0</v>
      </c>
    </row>
    <row r="61" spans="1:31" x14ac:dyDescent="0.25">
      <c r="B61" t="s">
        <v>32</v>
      </c>
      <c r="G61" s="1">
        <f t="shared" si="0"/>
        <v>0</v>
      </c>
      <c r="H61">
        <v>-999</v>
      </c>
      <c r="I61">
        <f t="shared" si="1"/>
        <v>0</v>
      </c>
      <c r="J61">
        <f t="shared" si="2"/>
        <v>0</v>
      </c>
      <c r="K61">
        <f t="shared" si="3"/>
        <v>0</v>
      </c>
      <c r="L61">
        <f t="shared" si="4"/>
        <v>0</v>
      </c>
      <c r="M61" s="1">
        <f t="shared" si="5"/>
        <v>0</v>
      </c>
      <c r="N61">
        <f t="shared" si="6"/>
        <v>0</v>
      </c>
      <c r="O61">
        <f t="shared" si="7"/>
        <v>0</v>
      </c>
      <c r="AA61">
        <f>C61*OsloCTM2!AK61</f>
        <v>0</v>
      </c>
      <c r="AE61">
        <f t="shared" si="8"/>
        <v>0</v>
      </c>
    </row>
    <row r="62" spans="1:31" x14ac:dyDescent="0.25">
      <c r="B62" t="s">
        <v>33</v>
      </c>
      <c r="G62" s="1">
        <f t="shared" si="0"/>
        <v>0</v>
      </c>
      <c r="H62">
        <v>-999</v>
      </c>
      <c r="I62">
        <f t="shared" si="1"/>
        <v>0</v>
      </c>
      <c r="J62">
        <f t="shared" si="2"/>
        <v>0</v>
      </c>
      <c r="K62">
        <f t="shared" si="3"/>
        <v>0</v>
      </c>
      <c r="L62">
        <f t="shared" si="4"/>
        <v>0</v>
      </c>
      <c r="M62" s="1">
        <f t="shared" si="5"/>
        <v>0</v>
      </c>
      <c r="N62">
        <f t="shared" si="6"/>
        <v>0</v>
      </c>
      <c r="O62">
        <f t="shared" si="7"/>
        <v>0</v>
      </c>
      <c r="AA62">
        <f>C62*OsloCTM2!AK62</f>
        <v>0</v>
      </c>
      <c r="AE62">
        <f t="shared" si="8"/>
        <v>0</v>
      </c>
    </row>
    <row r="63" spans="1:31" x14ac:dyDescent="0.25">
      <c r="B63" t="s">
        <v>28</v>
      </c>
      <c r="C63">
        <f>C55+C57+C59</f>
        <v>46.645989699999994</v>
      </c>
      <c r="G63" s="1">
        <f t="shared" si="0"/>
        <v>46.645989699999994</v>
      </c>
      <c r="H63">
        <f>H55+H57+H59</f>
        <v>-0.99808589999999997</v>
      </c>
      <c r="I63">
        <f t="shared" ref="I63:I64" si="59">C63/H63</f>
        <v>-46.735446017221562</v>
      </c>
      <c r="J63">
        <f t="shared" ref="J63:J64" si="60">D63/H63</f>
        <v>0</v>
      </c>
      <c r="K63">
        <f t="shared" ref="K63:K64" si="61">E63/H63</f>
        <v>0</v>
      </c>
      <c r="L63">
        <f t="shared" ref="L63:L64" si="62">F63/H63</f>
        <v>0</v>
      </c>
      <c r="M63" s="1">
        <f t="shared" ref="M63:M64" si="63">G63/H63</f>
        <v>-46.735446017221562</v>
      </c>
      <c r="N63">
        <f t="shared" ref="N63:N64" si="64">SUM(I63:J63)</f>
        <v>-46.735446017221562</v>
      </c>
      <c r="O63">
        <f t="shared" ref="O63:O64" si="65">SUM(K63:L63)</f>
        <v>0</v>
      </c>
      <c r="AA63">
        <f>C63*OsloCTM2!AK63</f>
        <v>0</v>
      </c>
      <c r="AE63">
        <f t="shared" ref="AE63:AE64" si="66">AA63/H63</f>
        <v>0</v>
      </c>
    </row>
    <row r="64" spans="1:31" x14ac:dyDescent="0.25">
      <c r="B64" t="s">
        <v>29</v>
      </c>
      <c r="C64">
        <f>C56+C58+C60</f>
        <v>34.737957899999998</v>
      </c>
      <c r="G64" s="1">
        <f t="shared" si="0"/>
        <v>34.737957899999998</v>
      </c>
      <c r="H64">
        <f>H56+H58+H60</f>
        <v>-1.1992411999999999</v>
      </c>
      <c r="I64">
        <f t="shared" si="59"/>
        <v>-28.966614806095723</v>
      </c>
      <c r="J64">
        <f t="shared" si="60"/>
        <v>0</v>
      </c>
      <c r="K64">
        <f t="shared" si="61"/>
        <v>0</v>
      </c>
      <c r="L64">
        <f t="shared" si="62"/>
        <v>0</v>
      </c>
      <c r="M64" s="1">
        <f t="shared" si="63"/>
        <v>-28.966614806095723</v>
      </c>
      <c r="N64">
        <f t="shared" si="64"/>
        <v>-28.966614806095723</v>
      </c>
      <c r="O64">
        <f t="shared" si="65"/>
        <v>0</v>
      </c>
      <c r="AA64">
        <f>C64*OsloCTM2!AK64</f>
        <v>0</v>
      </c>
      <c r="AE64">
        <f t="shared" si="66"/>
        <v>0</v>
      </c>
    </row>
    <row r="65" spans="1:31" x14ac:dyDescent="0.25">
      <c r="A65" t="s">
        <v>43</v>
      </c>
      <c r="B65" t="s">
        <v>24</v>
      </c>
      <c r="G65" s="1">
        <f t="shared" si="0"/>
        <v>0</v>
      </c>
      <c r="H65">
        <v>-999</v>
      </c>
      <c r="I65">
        <f t="shared" si="1"/>
        <v>0</v>
      </c>
      <c r="J65">
        <f t="shared" si="2"/>
        <v>0</v>
      </c>
      <c r="K65">
        <f t="shared" si="3"/>
        <v>0</v>
      </c>
      <c r="L65">
        <f t="shared" si="4"/>
        <v>0</v>
      </c>
      <c r="M65" s="1">
        <f t="shared" si="5"/>
        <v>0</v>
      </c>
      <c r="N65">
        <f t="shared" si="6"/>
        <v>0</v>
      </c>
      <c r="O65">
        <f t="shared" si="7"/>
        <v>0</v>
      </c>
      <c r="AA65">
        <f>C65*OsloCTM2!AK65</f>
        <v>0</v>
      </c>
      <c r="AE65">
        <f t="shared" si="8"/>
        <v>0</v>
      </c>
    </row>
    <row r="66" spans="1:31" x14ac:dyDescent="0.25">
      <c r="B66" t="s">
        <v>25</v>
      </c>
      <c r="G66" s="1">
        <f t="shared" si="0"/>
        <v>0</v>
      </c>
      <c r="H66">
        <v>-999</v>
      </c>
      <c r="I66">
        <f t="shared" si="1"/>
        <v>0</v>
      </c>
      <c r="J66">
        <f t="shared" si="2"/>
        <v>0</v>
      </c>
      <c r="K66">
        <f t="shared" si="3"/>
        <v>0</v>
      </c>
      <c r="L66">
        <f t="shared" si="4"/>
        <v>0</v>
      </c>
      <c r="M66" s="1">
        <f t="shared" si="5"/>
        <v>0</v>
      </c>
      <c r="N66">
        <f t="shared" si="6"/>
        <v>0</v>
      </c>
      <c r="O66">
        <f t="shared" si="7"/>
        <v>0</v>
      </c>
      <c r="AA66">
        <f>C66*OsloCTM2!AK66</f>
        <v>0</v>
      </c>
      <c r="AE66">
        <f t="shared" si="8"/>
        <v>0</v>
      </c>
    </row>
    <row r="67" spans="1:31" x14ac:dyDescent="0.25">
      <c r="B67" t="s">
        <v>26</v>
      </c>
      <c r="G67" s="1">
        <f t="shared" si="0"/>
        <v>0</v>
      </c>
      <c r="H67">
        <v>-999</v>
      </c>
      <c r="I67">
        <f t="shared" si="1"/>
        <v>0</v>
      </c>
      <c r="J67">
        <f t="shared" si="2"/>
        <v>0</v>
      </c>
      <c r="K67">
        <f t="shared" si="3"/>
        <v>0</v>
      </c>
      <c r="L67">
        <f t="shared" si="4"/>
        <v>0</v>
      </c>
      <c r="M67" s="1">
        <f t="shared" si="5"/>
        <v>0</v>
      </c>
      <c r="N67">
        <f t="shared" si="6"/>
        <v>0</v>
      </c>
      <c r="O67">
        <f t="shared" si="7"/>
        <v>0</v>
      </c>
      <c r="AA67">
        <f>C67*OsloCTM2!AK67</f>
        <v>0</v>
      </c>
      <c r="AE67">
        <f t="shared" si="8"/>
        <v>0</v>
      </c>
    </row>
    <row r="68" spans="1:31" x14ac:dyDescent="0.25">
      <c r="B68" t="s">
        <v>27</v>
      </c>
      <c r="G68" s="1">
        <f t="shared" si="0"/>
        <v>0</v>
      </c>
      <c r="H68">
        <v>-999</v>
      </c>
      <c r="I68">
        <f t="shared" si="1"/>
        <v>0</v>
      </c>
      <c r="J68">
        <f t="shared" si="2"/>
        <v>0</v>
      </c>
      <c r="K68">
        <f t="shared" si="3"/>
        <v>0</v>
      </c>
      <c r="L68">
        <f t="shared" si="4"/>
        <v>0</v>
      </c>
      <c r="M68" s="1">
        <f t="shared" si="5"/>
        <v>0</v>
      </c>
      <c r="N68">
        <f t="shared" si="6"/>
        <v>0</v>
      </c>
      <c r="O68">
        <f t="shared" si="7"/>
        <v>0</v>
      </c>
      <c r="AA68">
        <f>C68*OsloCTM2!AK68</f>
        <v>0</v>
      </c>
      <c r="AE68">
        <f t="shared" si="8"/>
        <v>0</v>
      </c>
    </row>
    <row r="69" spans="1:31" x14ac:dyDescent="0.25">
      <c r="B69" t="s">
        <v>134</v>
      </c>
      <c r="G69" s="1">
        <f t="shared" si="0"/>
        <v>0</v>
      </c>
      <c r="H69">
        <v>-999</v>
      </c>
      <c r="I69">
        <f t="shared" si="1"/>
        <v>0</v>
      </c>
      <c r="J69">
        <f t="shared" si="2"/>
        <v>0</v>
      </c>
      <c r="K69">
        <f t="shared" si="3"/>
        <v>0</v>
      </c>
      <c r="L69">
        <f t="shared" si="4"/>
        <v>0</v>
      </c>
      <c r="M69" s="1">
        <f t="shared" si="5"/>
        <v>0</v>
      </c>
      <c r="N69">
        <f t="shared" si="6"/>
        <v>0</v>
      </c>
      <c r="O69">
        <f t="shared" si="7"/>
        <v>0</v>
      </c>
      <c r="AA69">
        <f>C69*OsloCTM2!AK69</f>
        <v>0</v>
      </c>
      <c r="AE69">
        <f t="shared" si="8"/>
        <v>0</v>
      </c>
    </row>
    <row r="70" spans="1:31" x14ac:dyDescent="0.25">
      <c r="B70" t="s">
        <v>135</v>
      </c>
      <c r="G70" s="1">
        <f t="shared" si="0"/>
        <v>0</v>
      </c>
      <c r="H70">
        <v>-999</v>
      </c>
      <c r="I70">
        <f t="shared" si="1"/>
        <v>0</v>
      </c>
      <c r="J70">
        <f t="shared" si="2"/>
        <v>0</v>
      </c>
      <c r="K70">
        <f t="shared" si="3"/>
        <v>0</v>
      </c>
      <c r="L70">
        <f t="shared" si="4"/>
        <v>0</v>
      </c>
      <c r="M70" s="1">
        <f t="shared" si="5"/>
        <v>0</v>
      </c>
      <c r="N70">
        <f t="shared" si="6"/>
        <v>0</v>
      </c>
      <c r="O70">
        <f t="shared" si="7"/>
        <v>0</v>
      </c>
      <c r="AA70">
        <f>C70*OsloCTM2!AK70</f>
        <v>0</v>
      </c>
      <c r="AE70">
        <f t="shared" si="8"/>
        <v>0</v>
      </c>
    </row>
    <row r="71" spans="1:31" x14ac:dyDescent="0.25">
      <c r="B71" t="s">
        <v>28</v>
      </c>
      <c r="G71" s="1">
        <f t="shared" ref="G71:G72" si="67">SUM(C71:F71)</f>
        <v>0</v>
      </c>
      <c r="H71">
        <v>-999</v>
      </c>
      <c r="I71">
        <f t="shared" ref="I71:I72" si="68">C71/H71</f>
        <v>0</v>
      </c>
      <c r="J71">
        <f t="shared" ref="J71:J72" si="69">D71/H71</f>
        <v>0</v>
      </c>
      <c r="K71">
        <f t="shared" ref="K71:K72" si="70">E71/H71</f>
        <v>0</v>
      </c>
      <c r="L71">
        <f t="shared" ref="L71:L72" si="71">F71/H71</f>
        <v>0</v>
      </c>
      <c r="M71" s="1">
        <f t="shared" ref="M71:M72" si="72">G71/H71</f>
        <v>0</v>
      </c>
      <c r="N71">
        <f t="shared" ref="N71:N72" si="73">SUM(I71:J71)</f>
        <v>0</v>
      </c>
      <c r="O71">
        <f t="shared" ref="O71:O72" si="74">SUM(K71:L71)</f>
        <v>0</v>
      </c>
      <c r="AA71">
        <f>C71*OsloCTM2!AK71</f>
        <v>0</v>
      </c>
      <c r="AE71">
        <f t="shared" ref="AE71:AE72" si="75">AA71/H71</f>
        <v>0</v>
      </c>
    </row>
    <row r="72" spans="1:31" x14ac:dyDescent="0.25">
      <c r="B72" t="s">
        <v>29</v>
      </c>
      <c r="G72" s="1">
        <f t="shared" si="67"/>
        <v>0</v>
      </c>
      <c r="H72">
        <v>-999</v>
      </c>
      <c r="I72">
        <f t="shared" si="68"/>
        <v>0</v>
      </c>
      <c r="J72">
        <f t="shared" si="69"/>
        <v>0</v>
      </c>
      <c r="K72">
        <f t="shared" si="70"/>
        <v>0</v>
      </c>
      <c r="L72">
        <f t="shared" si="71"/>
        <v>0</v>
      </c>
      <c r="M72" s="1">
        <f t="shared" si="72"/>
        <v>0</v>
      </c>
      <c r="N72">
        <f t="shared" si="73"/>
        <v>0</v>
      </c>
      <c r="O72">
        <f t="shared" si="74"/>
        <v>0</v>
      </c>
      <c r="AA72">
        <f>C72*OsloCTM2!AK72</f>
        <v>0</v>
      </c>
      <c r="AE72">
        <f t="shared" si="75"/>
        <v>0</v>
      </c>
    </row>
    <row r="73" spans="1:31" x14ac:dyDescent="0.25">
      <c r="A73" t="s">
        <v>44</v>
      </c>
      <c r="B73" t="s">
        <v>32</v>
      </c>
      <c r="C73">
        <v>8.8489900000000006</v>
      </c>
      <c r="D73">
        <v>-4.7888799999999998</v>
      </c>
      <c r="E73">
        <f t="shared" ref="E73:E74" si="76">1.15*S73*U73</f>
        <v>4.0320201404999993</v>
      </c>
      <c r="F73" s="3">
        <f>E73/1.15*Methane!S3</f>
        <v>1.8278617038727649</v>
      </c>
      <c r="G73" s="1">
        <f t="shared" si="0"/>
        <v>9.919991844372765</v>
      </c>
      <c r="H73">
        <v>-2.81</v>
      </c>
      <c r="I73">
        <f t="shared" si="1"/>
        <v>-3.1491067615658364</v>
      </c>
      <c r="J73">
        <f t="shared" si="2"/>
        <v>1.7042277580071172</v>
      </c>
      <c r="K73">
        <f t="shared" si="3"/>
        <v>-1.4348826122775797</v>
      </c>
      <c r="L73">
        <f t="shared" si="4"/>
        <v>-0.65048459212553911</v>
      </c>
      <c r="M73" s="1">
        <f t="shared" si="5"/>
        <v>-3.530246207961838</v>
      </c>
      <c r="N73">
        <f t="shared" si="6"/>
        <v>-1.4448790035587191</v>
      </c>
      <c r="O73">
        <f t="shared" si="7"/>
        <v>-2.0853672044031191</v>
      </c>
      <c r="S73">
        <v>9.65869</v>
      </c>
      <c r="U73">
        <v>0.36299999999999999</v>
      </c>
      <c r="W73">
        <v>0.14558862275449103</v>
      </c>
      <c r="AA73">
        <f>C73*OsloCTM2!AK73</f>
        <v>6.2785087847300122E-3</v>
      </c>
      <c r="AE73">
        <f t="shared" si="8"/>
        <v>-2.2343447632491146E-3</v>
      </c>
    </row>
    <row r="74" spans="1:31" x14ac:dyDescent="0.25">
      <c r="B74" t="s">
        <v>33</v>
      </c>
      <c r="C74">
        <v>10.630599999999999</v>
      </c>
      <c r="D74">
        <v>-4.3802300000000001</v>
      </c>
      <c r="E74">
        <f t="shared" si="76"/>
        <v>5.0341130399999994</v>
      </c>
      <c r="F74" s="3">
        <f>E74/1.15*Methane!S3</f>
        <v>2.2821469432544625</v>
      </c>
      <c r="G74" s="1">
        <f t="shared" si="0"/>
        <v>13.56662998325446</v>
      </c>
      <c r="H74">
        <v>-2.81</v>
      </c>
      <c r="I74">
        <f t="shared" si="1"/>
        <v>-3.7831316725978645</v>
      </c>
      <c r="J74">
        <f t="shared" si="2"/>
        <v>1.5588007117437723</v>
      </c>
      <c r="K74">
        <f t="shared" si="3"/>
        <v>-1.791499302491103</v>
      </c>
      <c r="L74">
        <f t="shared" si="4"/>
        <v>-0.81215193710123224</v>
      </c>
      <c r="M74" s="1">
        <f t="shared" si="5"/>
        <v>-4.827982200446427</v>
      </c>
      <c r="N74">
        <f t="shared" si="6"/>
        <v>-2.2243309608540924</v>
      </c>
      <c r="O74">
        <f t="shared" si="7"/>
        <v>-2.6036512395923355</v>
      </c>
      <c r="S74">
        <v>12.059200000000001</v>
      </c>
      <c r="U74">
        <v>0.36299999999999999</v>
      </c>
      <c r="W74">
        <v>0.14558862275449103</v>
      </c>
      <c r="AA74">
        <f>C74*OsloCTM2!AK74</f>
        <v>4.234149207553578E-2</v>
      </c>
      <c r="AE74">
        <f t="shared" si="8"/>
        <v>-1.5068146646098143E-2</v>
      </c>
    </row>
    <row r="75" spans="1:31" x14ac:dyDescent="0.25">
      <c r="A75" t="s">
        <v>9</v>
      </c>
      <c r="B75" t="s">
        <v>65</v>
      </c>
      <c r="C75">
        <v>-43.5139</v>
      </c>
      <c r="D75">
        <v>-64.007800000000003</v>
      </c>
      <c r="E75" s="3">
        <f>-1.15*Methane!N3*1000</f>
        <v>-141.19270522616111</v>
      </c>
      <c r="G75" s="1">
        <f t="shared" si="0"/>
        <v>-248.71440522616112</v>
      </c>
      <c r="H75">
        <f>-Methane!K3</f>
        <v>-117.11282499413943</v>
      </c>
      <c r="I75">
        <f t="shared" si="1"/>
        <v>0.37155537834714109</v>
      </c>
      <c r="J75">
        <f t="shared" si="2"/>
        <v>0.54654816842820664</v>
      </c>
      <c r="K75">
        <f t="shared" si="3"/>
        <v>1.2056126665309856</v>
      </c>
      <c r="L75">
        <f t="shared" si="4"/>
        <v>0</v>
      </c>
      <c r="M75" s="1">
        <f t="shared" si="5"/>
        <v>2.1237162133063334</v>
      </c>
      <c r="N75">
        <f t="shared" si="6"/>
        <v>0.91810354677534778</v>
      </c>
      <c r="O75">
        <f t="shared" si="7"/>
        <v>1.2056126665309856</v>
      </c>
      <c r="AA75">
        <f>C75*OsloCTM2!AK75</f>
        <v>0.62718645524703409</v>
      </c>
      <c r="AE75">
        <f t="shared" si="8"/>
        <v>-5.3554036910852401E-3</v>
      </c>
    </row>
    <row r="76" spans="1:31" x14ac:dyDescent="0.25">
      <c r="B76" t="s">
        <v>66</v>
      </c>
      <c r="G76" s="1">
        <f t="shared" si="0"/>
        <v>0</v>
      </c>
      <c r="H76">
        <v>-999</v>
      </c>
      <c r="I76">
        <f t="shared" si="1"/>
        <v>0</v>
      </c>
      <c r="J76">
        <f t="shared" si="2"/>
        <v>0</v>
      </c>
      <c r="K76">
        <f t="shared" si="3"/>
        <v>0</v>
      </c>
      <c r="L76">
        <f t="shared" si="4"/>
        <v>0</v>
      </c>
      <c r="M76" s="1">
        <f t="shared" si="5"/>
        <v>0</v>
      </c>
      <c r="N76">
        <f t="shared" si="6"/>
        <v>0</v>
      </c>
      <c r="O76">
        <f t="shared" si="7"/>
        <v>0</v>
      </c>
      <c r="AA76">
        <f>C76*OsloCTM2!AK76</f>
        <v>0</v>
      </c>
      <c r="AE76">
        <f t="shared" si="8"/>
        <v>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6"/>
  <sheetViews>
    <sheetView workbookViewId="0">
      <pane xSplit="2" ySplit="4" topLeftCell="C5" activePane="bottomRight" state="frozen"/>
      <selection pane="topRight" activeCell="C1" sqref="C1"/>
      <selection pane="bottomLeft" activeCell="A5" sqref="A5"/>
      <selection pane="bottomRight" activeCell="L1" sqref="L1"/>
    </sheetView>
  </sheetViews>
  <sheetFormatPr defaultRowHeight="15" x14ac:dyDescent="0.25"/>
  <cols>
    <col min="5" max="5" width="9.140625" style="1"/>
    <col min="9" max="9" width="9.140625" style="1"/>
  </cols>
  <sheetData>
    <row r="1" spans="1:22" x14ac:dyDescent="0.25">
      <c r="A1" t="s">
        <v>22</v>
      </c>
      <c r="L1" t="s">
        <v>136</v>
      </c>
    </row>
    <row r="2" spans="1:22" x14ac:dyDescent="0.25">
      <c r="A2" t="s">
        <v>0</v>
      </c>
      <c r="C2" s="1" t="s">
        <v>60</v>
      </c>
    </row>
    <row r="3" spans="1:22" x14ac:dyDescent="0.25">
      <c r="C3" s="1" t="s">
        <v>133</v>
      </c>
    </row>
    <row r="4" spans="1:22" x14ac:dyDescent="0.25">
      <c r="B4" t="s">
        <v>23</v>
      </c>
      <c r="C4" t="s">
        <v>49</v>
      </c>
      <c r="D4" t="s">
        <v>5</v>
      </c>
      <c r="E4" s="1" t="s">
        <v>12</v>
      </c>
      <c r="F4" t="s">
        <v>11</v>
      </c>
      <c r="G4" t="s">
        <v>51</v>
      </c>
      <c r="H4" t="s">
        <v>18</v>
      </c>
      <c r="I4" s="1" t="s">
        <v>21</v>
      </c>
      <c r="J4" t="s">
        <v>46</v>
      </c>
      <c r="K4" t="s">
        <v>47</v>
      </c>
      <c r="R4" t="s">
        <v>82</v>
      </c>
      <c r="V4" t="s">
        <v>14</v>
      </c>
    </row>
    <row r="5" spans="1:22" x14ac:dyDescent="0.25">
      <c r="A5" t="s">
        <v>2</v>
      </c>
      <c r="B5" t="s">
        <v>24</v>
      </c>
      <c r="C5">
        <v>-1.9091499999999999</v>
      </c>
      <c r="E5" s="1">
        <f>SUM(C5:D5)</f>
        <v>-1.9091499999999999</v>
      </c>
      <c r="F5">
        <v>0.75465400000000005</v>
      </c>
      <c r="G5">
        <f t="shared" ref="G5:G7" si="0">C5/F5</f>
        <v>-2.5298348647194606</v>
      </c>
      <c r="H5">
        <f>D5/F5</f>
        <v>0</v>
      </c>
      <c r="I5" s="1">
        <f>E5/F5</f>
        <v>-2.5298348647194606</v>
      </c>
      <c r="J5">
        <f>SUM(G5:H5)</f>
        <v>-2.5298348647194606</v>
      </c>
      <c r="K5">
        <v>0</v>
      </c>
      <c r="R5">
        <f>C5*OsloCTM2!AH5</f>
        <v>2.9034838876096654E-2</v>
      </c>
      <c r="V5">
        <f>R5/F5</f>
        <v>3.8474372197187919E-2</v>
      </c>
    </row>
    <row r="6" spans="1:22" x14ac:dyDescent="0.25">
      <c r="B6" t="s">
        <v>25</v>
      </c>
      <c r="C6">
        <v>-0.87034900000000004</v>
      </c>
      <c r="E6" s="1">
        <f t="shared" ref="E6:E10" si="1">SUM(C6:D6)</f>
        <v>-0.87034900000000004</v>
      </c>
      <c r="F6">
        <v>0.82284500000000005</v>
      </c>
      <c r="G6">
        <f t="shared" si="0"/>
        <v>-1.0577314074947286</v>
      </c>
      <c r="H6">
        <f t="shared" ref="H6:H10" si="2">D6/F6</f>
        <v>0</v>
      </c>
      <c r="I6" s="1">
        <f t="shared" ref="I6:I10" si="3">E6/F6</f>
        <v>-1.0577314074947286</v>
      </c>
      <c r="J6">
        <f t="shared" ref="J6:J10" si="4">SUM(G6:H6)</f>
        <v>-1.0577314074947286</v>
      </c>
      <c r="K6">
        <v>0</v>
      </c>
      <c r="R6">
        <f>C6*OsloCTM2!AH6</f>
        <v>4.6862150982515768E-2</v>
      </c>
      <c r="V6">
        <f t="shared" ref="V6:V12" si="5">R6/F6</f>
        <v>5.6951371136138358E-2</v>
      </c>
    </row>
    <row r="7" spans="1:22" x14ac:dyDescent="0.25">
      <c r="B7" t="s">
        <v>26</v>
      </c>
      <c r="C7">
        <v>-3.2839100000000001</v>
      </c>
      <c r="E7" s="1">
        <f t="shared" si="1"/>
        <v>-3.2839100000000001</v>
      </c>
      <c r="F7">
        <v>3.0706799999999999</v>
      </c>
      <c r="G7">
        <f t="shared" si="0"/>
        <v>-1.0694406450688447</v>
      </c>
      <c r="H7">
        <f t="shared" si="2"/>
        <v>0</v>
      </c>
      <c r="I7" s="1">
        <f t="shared" si="3"/>
        <v>-1.0694406450688447</v>
      </c>
      <c r="J7">
        <f t="shared" si="4"/>
        <v>-1.0694406450688447</v>
      </c>
      <c r="K7">
        <v>0</v>
      </c>
      <c r="R7">
        <f>C7*OsloCTM2!AH7</f>
        <v>3.3951510199637422E-2</v>
      </c>
      <c r="V7">
        <f t="shared" si="5"/>
        <v>1.1056674808067731E-2</v>
      </c>
    </row>
    <row r="8" spans="1:22" x14ac:dyDescent="0.25">
      <c r="B8" t="s">
        <v>27</v>
      </c>
      <c r="C8">
        <v>-5.1105900000000002</v>
      </c>
      <c r="E8" s="1">
        <f t="shared" si="1"/>
        <v>-5.1105900000000002</v>
      </c>
      <c r="F8">
        <v>3.2628599999999999</v>
      </c>
      <c r="G8">
        <f>C8/F8</f>
        <v>-1.5662915356466414</v>
      </c>
      <c r="H8">
        <f t="shared" si="2"/>
        <v>0</v>
      </c>
      <c r="I8" s="1">
        <f t="shared" si="3"/>
        <v>-1.5662915356466414</v>
      </c>
      <c r="J8">
        <f t="shared" si="4"/>
        <v>-1.5662915356466414</v>
      </c>
      <c r="K8">
        <v>0</v>
      </c>
      <c r="R8">
        <f>C8*OsloCTM2!AH8</f>
        <v>0.27173221019253696</v>
      </c>
      <c r="V8">
        <f t="shared" si="5"/>
        <v>8.3280376783722548E-2</v>
      </c>
    </row>
    <row r="9" spans="1:22" x14ac:dyDescent="0.25">
      <c r="B9" t="s">
        <v>134</v>
      </c>
      <c r="C9">
        <v>-16.751799999999999</v>
      </c>
      <c r="E9" s="1">
        <f t="shared" si="1"/>
        <v>-16.751799999999999</v>
      </c>
      <c r="F9">
        <v>4.9790299999999998</v>
      </c>
      <c r="G9">
        <f t="shared" ref="G9:G10" si="6">C9/F9</f>
        <v>-3.3644705896530045</v>
      </c>
      <c r="H9">
        <f t="shared" si="2"/>
        <v>0</v>
      </c>
      <c r="I9" s="1">
        <f t="shared" si="3"/>
        <v>-3.3644705896530045</v>
      </c>
      <c r="J9">
        <f t="shared" si="4"/>
        <v>-3.3644705896530045</v>
      </c>
      <c r="K9">
        <v>0</v>
      </c>
      <c r="R9">
        <f>C9*OsloCTM2!AH9</f>
        <v>0.61959690270876744</v>
      </c>
      <c r="V9">
        <f t="shared" si="5"/>
        <v>0.12444128730069259</v>
      </c>
    </row>
    <row r="10" spans="1:22" x14ac:dyDescent="0.25">
      <c r="B10" t="s">
        <v>135</v>
      </c>
      <c r="C10">
        <v>-16.906400000000001</v>
      </c>
      <c r="E10" s="1">
        <f t="shared" si="1"/>
        <v>-16.906400000000001</v>
      </c>
      <c r="F10">
        <v>5.0255400000000003</v>
      </c>
      <c r="G10">
        <f t="shared" si="6"/>
        <v>-3.3640961966276262</v>
      </c>
      <c r="H10">
        <f t="shared" si="2"/>
        <v>0</v>
      </c>
      <c r="I10" s="1">
        <f t="shared" si="3"/>
        <v>-3.3640961966276262</v>
      </c>
      <c r="J10">
        <f t="shared" si="4"/>
        <v>-3.3640961966276262</v>
      </c>
      <c r="K10">
        <v>0</v>
      </c>
      <c r="R10">
        <f>C10*OsloCTM2!AH10</f>
        <v>0.89834458208464463</v>
      </c>
      <c r="V10">
        <f t="shared" si="5"/>
        <v>0.17875583162896813</v>
      </c>
    </row>
    <row r="11" spans="1:22" x14ac:dyDescent="0.25">
      <c r="B11" t="s">
        <v>32</v>
      </c>
      <c r="F11">
        <v>1.2474799999999999</v>
      </c>
      <c r="R11">
        <f>C11*OsloCTM2!AH11</f>
        <v>0</v>
      </c>
      <c r="V11">
        <f t="shared" si="5"/>
        <v>0</v>
      </c>
    </row>
    <row r="12" spans="1:22" x14ac:dyDescent="0.25">
      <c r="B12" t="s">
        <v>33</v>
      </c>
      <c r="F12">
        <v>1.2394700000000001</v>
      </c>
      <c r="R12">
        <f>C12*OsloCTM2!AH12</f>
        <v>0</v>
      </c>
      <c r="V12">
        <f t="shared" si="5"/>
        <v>0</v>
      </c>
    </row>
    <row r="13" spans="1:22" x14ac:dyDescent="0.25">
      <c r="B13" t="s">
        <v>28</v>
      </c>
      <c r="C13">
        <f>C5+C7+C9</f>
        <v>-21.944859999999998</v>
      </c>
      <c r="E13" s="1">
        <f t="shared" ref="E13:E14" si="7">SUM(C13:D13)</f>
        <v>-21.944859999999998</v>
      </c>
      <c r="F13">
        <f>F5+F7+F9</f>
        <v>8.8043639999999996</v>
      </c>
      <c r="G13">
        <f t="shared" ref="G13:G14" si="8">C13/F13</f>
        <v>-2.4924980384727391</v>
      </c>
      <c r="H13">
        <f t="shared" ref="H13:H14" si="9">D13/F13</f>
        <v>0</v>
      </c>
      <c r="I13" s="1">
        <f t="shared" ref="I13:I14" si="10">E13/F13</f>
        <v>-2.4924980384727391</v>
      </c>
      <c r="J13">
        <f t="shared" ref="J13:J14" si="11">SUM(G13:H13)</f>
        <v>-2.4924980384727391</v>
      </c>
      <c r="K13">
        <v>0</v>
      </c>
      <c r="R13">
        <f>C13*OsloCTM2!AH13</f>
        <v>0.60693931691989966</v>
      </c>
      <c r="V13">
        <f t="shared" ref="V13:V14" si="12">R13/F13</f>
        <v>6.893619083898618E-2</v>
      </c>
    </row>
    <row r="14" spans="1:22" x14ac:dyDescent="0.25">
      <c r="B14" t="s">
        <v>29</v>
      </c>
      <c r="C14">
        <f>C6+C8+C10</f>
        <v>-22.887339000000001</v>
      </c>
      <c r="E14" s="1">
        <f t="shared" si="7"/>
        <v>-22.887339000000001</v>
      </c>
      <c r="F14">
        <f>F6+F8+F10</f>
        <v>9.1112450000000003</v>
      </c>
      <c r="G14">
        <f t="shared" si="8"/>
        <v>-2.5119880982236786</v>
      </c>
      <c r="H14">
        <f t="shared" si="9"/>
        <v>0</v>
      </c>
      <c r="I14" s="1">
        <f t="shared" si="10"/>
        <v>-2.5119880982236786</v>
      </c>
      <c r="J14">
        <f t="shared" si="11"/>
        <v>-2.5119880982236786</v>
      </c>
      <c r="K14">
        <v>0</v>
      </c>
      <c r="R14">
        <f>C14*OsloCTM2!AH14</f>
        <v>1.129655312324789</v>
      </c>
      <c r="V14">
        <f t="shared" si="12"/>
        <v>0.12398473669896803</v>
      </c>
    </row>
    <row r="15" spans="1:22" x14ac:dyDescent="0.25">
      <c r="A15" t="s">
        <v>30</v>
      </c>
      <c r="B15" t="s">
        <v>24</v>
      </c>
    </row>
    <row r="16" spans="1:22" x14ac:dyDescent="0.25">
      <c r="A16" t="s">
        <v>31</v>
      </c>
      <c r="B16" t="s">
        <v>25</v>
      </c>
    </row>
    <row r="17" spans="1:2" x14ac:dyDescent="0.25">
      <c r="B17" t="s">
        <v>26</v>
      </c>
    </row>
    <row r="18" spans="1:2" x14ac:dyDescent="0.25">
      <c r="B18" t="s">
        <v>27</v>
      </c>
    </row>
    <row r="19" spans="1:2" x14ac:dyDescent="0.25">
      <c r="B19" t="s">
        <v>134</v>
      </c>
    </row>
    <row r="20" spans="1:2" x14ac:dyDescent="0.25">
      <c r="B20" t="s">
        <v>135</v>
      </c>
    </row>
    <row r="21" spans="1:2" x14ac:dyDescent="0.25">
      <c r="B21" t="s">
        <v>32</v>
      </c>
    </row>
    <row r="22" spans="1:2" x14ac:dyDescent="0.25">
      <c r="B22" t="s">
        <v>33</v>
      </c>
    </row>
    <row r="23" spans="1:2" x14ac:dyDescent="0.25">
      <c r="B23" t="s">
        <v>28</v>
      </c>
    </row>
    <row r="24" spans="1:2" x14ac:dyDescent="0.25">
      <c r="B24" t="s">
        <v>29</v>
      </c>
    </row>
    <row r="25" spans="1:2" x14ac:dyDescent="0.25">
      <c r="A25" t="s">
        <v>34</v>
      </c>
      <c r="B25" t="s">
        <v>24</v>
      </c>
    </row>
    <row r="26" spans="1:2" x14ac:dyDescent="0.25">
      <c r="B26" t="s">
        <v>25</v>
      </c>
    </row>
    <row r="27" spans="1:2" x14ac:dyDescent="0.25">
      <c r="B27" t="s">
        <v>26</v>
      </c>
    </row>
    <row r="28" spans="1:2" x14ac:dyDescent="0.25">
      <c r="B28" t="s">
        <v>27</v>
      </c>
    </row>
    <row r="29" spans="1:2" x14ac:dyDescent="0.25">
      <c r="B29" t="s">
        <v>134</v>
      </c>
    </row>
    <row r="30" spans="1:2" x14ac:dyDescent="0.25">
      <c r="B30" t="s">
        <v>135</v>
      </c>
    </row>
    <row r="31" spans="1:2" x14ac:dyDescent="0.25">
      <c r="B31" t="s">
        <v>32</v>
      </c>
    </row>
    <row r="32" spans="1:2" x14ac:dyDescent="0.25">
      <c r="B32" t="s">
        <v>33</v>
      </c>
    </row>
    <row r="33" spans="1:11" x14ac:dyDescent="0.25">
      <c r="B33" t="s">
        <v>28</v>
      </c>
    </row>
    <row r="34" spans="1:11" x14ac:dyDescent="0.25">
      <c r="B34" t="s">
        <v>29</v>
      </c>
    </row>
    <row r="35" spans="1:11" x14ac:dyDescent="0.25">
      <c r="A35" t="s">
        <v>35</v>
      </c>
      <c r="B35" t="s">
        <v>24</v>
      </c>
    </row>
    <row r="36" spans="1:11" x14ac:dyDescent="0.25">
      <c r="A36" t="s">
        <v>36</v>
      </c>
      <c r="B36" t="s">
        <v>25</v>
      </c>
    </row>
    <row r="37" spans="1:11" x14ac:dyDescent="0.25">
      <c r="B37" t="s">
        <v>26</v>
      </c>
    </row>
    <row r="38" spans="1:11" x14ac:dyDescent="0.25">
      <c r="B38" t="s">
        <v>27</v>
      </c>
    </row>
    <row r="39" spans="1:11" x14ac:dyDescent="0.25">
      <c r="B39" t="s">
        <v>134</v>
      </c>
    </row>
    <row r="40" spans="1:11" x14ac:dyDescent="0.25">
      <c r="B40" t="s">
        <v>135</v>
      </c>
    </row>
    <row r="41" spans="1:11" x14ac:dyDescent="0.25">
      <c r="B41" t="s">
        <v>32</v>
      </c>
    </row>
    <row r="42" spans="1:11" x14ac:dyDescent="0.25">
      <c r="B42" t="s">
        <v>33</v>
      </c>
    </row>
    <row r="43" spans="1:11" x14ac:dyDescent="0.25">
      <c r="B43" t="s">
        <v>28</v>
      </c>
    </row>
    <row r="44" spans="1:11" x14ac:dyDescent="0.25">
      <c r="B44" t="s">
        <v>29</v>
      </c>
    </row>
    <row r="45" spans="1:11" x14ac:dyDescent="0.25">
      <c r="A45" t="s">
        <v>37</v>
      </c>
      <c r="B45" t="s">
        <v>24</v>
      </c>
      <c r="C45">
        <v>0.87346299999999999</v>
      </c>
      <c r="E45" s="1">
        <f t="shared" ref="E45:E50" si="13">SUM(C45:D45)</f>
        <v>0.87346299999999999</v>
      </c>
      <c r="F45">
        <v>3.1220000000000001E-2</v>
      </c>
      <c r="G45">
        <f t="shared" ref="G45:G50" si="14">C45/F45</f>
        <v>27.977674567584881</v>
      </c>
      <c r="H45">
        <f t="shared" ref="H45:H50" si="15">D45/F45</f>
        <v>0</v>
      </c>
      <c r="I45" s="1">
        <f t="shared" ref="I45:I50" si="16">E45/F45</f>
        <v>27.977674567584881</v>
      </c>
      <c r="J45">
        <f t="shared" ref="J45:J50" si="17">SUM(G45:H45)</f>
        <v>27.977674567584881</v>
      </c>
      <c r="K45">
        <v>0</v>
      </c>
    </row>
    <row r="46" spans="1:11" x14ac:dyDescent="0.25">
      <c r="A46" t="s">
        <v>36</v>
      </c>
      <c r="B46" t="s">
        <v>25</v>
      </c>
      <c r="C46">
        <v>0.446739</v>
      </c>
      <c r="E46" s="1">
        <f t="shared" si="13"/>
        <v>0.446739</v>
      </c>
      <c r="F46">
        <v>4.8555899999999999E-2</v>
      </c>
      <c r="G46">
        <f t="shared" si="14"/>
        <v>9.2005091039399947</v>
      </c>
      <c r="H46">
        <f t="shared" si="15"/>
        <v>0</v>
      </c>
      <c r="I46" s="1">
        <f t="shared" si="16"/>
        <v>9.2005091039399947</v>
      </c>
      <c r="J46">
        <f t="shared" si="17"/>
        <v>9.2005091039399947</v>
      </c>
      <c r="K46">
        <v>0</v>
      </c>
    </row>
    <row r="47" spans="1:11" x14ac:dyDescent="0.25">
      <c r="B47" t="s">
        <v>26</v>
      </c>
      <c r="C47">
        <v>0.46911399999999998</v>
      </c>
      <c r="E47" s="1">
        <f t="shared" si="13"/>
        <v>0.46911399999999998</v>
      </c>
      <c r="F47">
        <v>0.110691</v>
      </c>
      <c r="G47">
        <f t="shared" si="14"/>
        <v>4.2380500673044779</v>
      </c>
      <c r="H47">
        <f t="shared" si="15"/>
        <v>0</v>
      </c>
      <c r="I47" s="1">
        <f t="shared" si="16"/>
        <v>4.2380500673044779</v>
      </c>
      <c r="J47">
        <f t="shared" si="17"/>
        <v>4.2380500673044779</v>
      </c>
      <c r="K47">
        <v>0</v>
      </c>
    </row>
    <row r="48" spans="1:11" x14ac:dyDescent="0.25">
      <c r="B48" t="s">
        <v>27</v>
      </c>
      <c r="C48">
        <v>1.1657500000000001</v>
      </c>
      <c r="E48" s="1">
        <f t="shared" si="13"/>
        <v>1.1657500000000001</v>
      </c>
      <c r="F48">
        <v>0.17713400000000001</v>
      </c>
      <c r="G48">
        <f t="shared" si="14"/>
        <v>6.5811758329851973</v>
      </c>
      <c r="H48">
        <f t="shared" si="15"/>
        <v>0</v>
      </c>
      <c r="I48" s="1">
        <f t="shared" si="16"/>
        <v>6.5811758329851973</v>
      </c>
      <c r="J48">
        <f t="shared" si="17"/>
        <v>6.5811758329851973</v>
      </c>
      <c r="K48">
        <v>0</v>
      </c>
    </row>
    <row r="49" spans="1:11" x14ac:dyDescent="0.25">
      <c r="B49" t="s">
        <v>134</v>
      </c>
      <c r="C49">
        <v>13.281700000000001</v>
      </c>
      <c r="E49" s="1">
        <f t="shared" si="13"/>
        <v>13.281700000000001</v>
      </c>
      <c r="F49">
        <v>0.34939999999999999</v>
      </c>
      <c r="G49">
        <f t="shared" si="14"/>
        <v>38.012879221522617</v>
      </c>
      <c r="H49">
        <f t="shared" si="15"/>
        <v>0</v>
      </c>
      <c r="I49" s="1">
        <f t="shared" si="16"/>
        <v>38.012879221522617</v>
      </c>
      <c r="J49">
        <f t="shared" si="17"/>
        <v>38.012879221522617</v>
      </c>
      <c r="K49">
        <v>0</v>
      </c>
    </row>
    <row r="50" spans="1:11" x14ac:dyDescent="0.25">
      <c r="B50" t="s">
        <v>135</v>
      </c>
      <c r="C50">
        <v>13.561400000000001</v>
      </c>
      <c r="E50" s="1">
        <f t="shared" si="13"/>
        <v>13.561400000000001</v>
      </c>
      <c r="F50">
        <v>0.35821399999999998</v>
      </c>
      <c r="G50">
        <f t="shared" si="14"/>
        <v>37.858375161216486</v>
      </c>
      <c r="H50">
        <f t="shared" si="15"/>
        <v>0</v>
      </c>
      <c r="I50" s="1">
        <f t="shared" si="16"/>
        <v>37.858375161216486</v>
      </c>
      <c r="J50">
        <f t="shared" si="17"/>
        <v>37.858375161216486</v>
      </c>
      <c r="K50">
        <v>0</v>
      </c>
    </row>
    <row r="51" spans="1:11" x14ac:dyDescent="0.25">
      <c r="B51" t="s">
        <v>32</v>
      </c>
      <c r="F51">
        <v>1.47238E-2</v>
      </c>
    </row>
    <row r="52" spans="1:11" x14ac:dyDescent="0.25">
      <c r="B52" t="s">
        <v>33</v>
      </c>
      <c r="F52">
        <v>1.46251E-2</v>
      </c>
    </row>
    <row r="53" spans="1:11" x14ac:dyDescent="0.25">
      <c r="B53" t="s">
        <v>28</v>
      </c>
      <c r="C53">
        <f>C45+C47+C49</f>
        <v>14.624277000000001</v>
      </c>
      <c r="E53" s="1">
        <f t="shared" ref="E53:E54" si="18">SUM(C53:D53)</f>
        <v>14.624277000000001</v>
      </c>
      <c r="F53">
        <f>F45+F47+F49</f>
        <v>0.491311</v>
      </c>
      <c r="G53">
        <f t="shared" ref="G53:G54" si="19">C53/F53</f>
        <v>29.765824498128477</v>
      </c>
      <c r="H53">
        <f t="shared" ref="H53:H54" si="20">D53/F53</f>
        <v>0</v>
      </c>
      <c r="I53" s="1">
        <f t="shared" ref="I53:I54" si="21">E53/F53</f>
        <v>29.765824498128477</v>
      </c>
      <c r="J53">
        <f t="shared" ref="J53:J54" si="22">SUM(G53:H53)</f>
        <v>29.765824498128477</v>
      </c>
      <c r="K53">
        <v>0</v>
      </c>
    </row>
    <row r="54" spans="1:11" x14ac:dyDescent="0.25">
      <c r="B54" t="s">
        <v>29</v>
      </c>
      <c r="C54">
        <f>C46+C48+C50</f>
        <v>15.173889000000001</v>
      </c>
      <c r="E54" s="1">
        <f t="shared" si="18"/>
        <v>15.173889000000001</v>
      </c>
      <c r="F54">
        <f>F46+F48+F50</f>
        <v>0.58390389999999992</v>
      </c>
      <c r="G54">
        <f t="shared" si="19"/>
        <v>25.986962923179657</v>
      </c>
      <c r="H54">
        <f t="shared" si="20"/>
        <v>0</v>
      </c>
      <c r="I54" s="1">
        <f t="shared" si="21"/>
        <v>25.986962923179657</v>
      </c>
      <c r="J54">
        <f t="shared" si="22"/>
        <v>25.986962923179657</v>
      </c>
      <c r="K54">
        <v>0</v>
      </c>
    </row>
    <row r="55" spans="1:11" x14ac:dyDescent="0.25">
      <c r="A55" t="s">
        <v>38</v>
      </c>
      <c r="B55" t="s">
        <v>24</v>
      </c>
      <c r="C55">
        <v>-1.7881899999999999E-2</v>
      </c>
      <c r="E55" s="1">
        <f t="shared" ref="E55:E60" si="23">SUM(C55:D55)</f>
        <v>-1.7881899999999999E-2</v>
      </c>
      <c r="F55">
        <v>3.7376399999999997E-2</v>
      </c>
      <c r="G55">
        <f t="shared" ref="G55:G60" si="24">C55/F55</f>
        <v>-0.47842756391733821</v>
      </c>
      <c r="H55">
        <f t="shared" ref="H55:H60" si="25">D55/F55</f>
        <v>0</v>
      </c>
      <c r="I55" s="1">
        <f t="shared" ref="I55:I60" si="26">E55/F55</f>
        <v>-0.47842756391733821</v>
      </c>
      <c r="J55">
        <f t="shared" ref="J55:J60" si="27">SUM(G55:H55)</f>
        <v>-0.47842756391733821</v>
      </c>
      <c r="K55">
        <v>0</v>
      </c>
    </row>
    <row r="56" spans="1:11" x14ac:dyDescent="0.25">
      <c r="A56" t="s">
        <v>36</v>
      </c>
      <c r="B56" t="s">
        <v>25</v>
      </c>
      <c r="C56">
        <v>-1.6499199999999999E-2</v>
      </c>
      <c r="E56" s="1">
        <f t="shared" si="23"/>
        <v>-1.6499199999999999E-2</v>
      </c>
      <c r="F56">
        <v>6.8622600000000006E-2</v>
      </c>
      <c r="G56">
        <f t="shared" si="24"/>
        <v>-0.24043390952834776</v>
      </c>
      <c r="H56">
        <f t="shared" si="25"/>
        <v>0</v>
      </c>
      <c r="I56" s="1">
        <f t="shared" si="26"/>
        <v>-0.24043390952834776</v>
      </c>
      <c r="J56">
        <f t="shared" si="27"/>
        <v>-0.24043390952834776</v>
      </c>
      <c r="K56">
        <v>0</v>
      </c>
    </row>
    <row r="57" spans="1:11" x14ac:dyDescent="0.25">
      <c r="A57" t="s">
        <v>54</v>
      </c>
      <c r="B57" t="s">
        <v>26</v>
      </c>
      <c r="C57">
        <v>-8.6567900000000003E-2</v>
      </c>
      <c r="E57" s="1">
        <f t="shared" si="23"/>
        <v>-8.6567900000000003E-2</v>
      </c>
      <c r="F57">
        <v>0.21578600000000001</v>
      </c>
      <c r="G57">
        <f t="shared" si="24"/>
        <v>-0.40117477500857329</v>
      </c>
      <c r="H57">
        <f t="shared" si="25"/>
        <v>0</v>
      </c>
      <c r="I57" s="1">
        <f t="shared" si="26"/>
        <v>-0.40117477500857329</v>
      </c>
      <c r="J57">
        <f t="shared" si="27"/>
        <v>-0.40117477500857329</v>
      </c>
      <c r="K57">
        <v>0</v>
      </c>
    </row>
    <row r="58" spans="1:11" x14ac:dyDescent="0.25">
      <c r="A58">
        <v>1.4</v>
      </c>
      <c r="B58" t="s">
        <v>27</v>
      </c>
      <c r="C58">
        <v>-0.33556599999999998</v>
      </c>
      <c r="E58" s="1">
        <f t="shared" si="23"/>
        <v>-0.33556599999999998</v>
      </c>
      <c r="F58">
        <v>0.36708499999999999</v>
      </c>
      <c r="G58">
        <f t="shared" si="24"/>
        <v>-0.91413705272620782</v>
      </c>
      <c r="H58">
        <f t="shared" si="25"/>
        <v>0</v>
      </c>
      <c r="I58" s="1">
        <f t="shared" si="26"/>
        <v>-0.91413705272620782</v>
      </c>
      <c r="J58">
        <f t="shared" si="27"/>
        <v>-0.91413705272620782</v>
      </c>
      <c r="K58">
        <v>0</v>
      </c>
    </row>
    <row r="59" spans="1:11" x14ac:dyDescent="0.25">
      <c r="B59" t="s">
        <v>134</v>
      </c>
      <c r="C59">
        <v>-0.15382799999999999</v>
      </c>
      <c r="E59" s="1">
        <f t="shared" si="23"/>
        <v>-0.15382799999999999</v>
      </c>
      <c r="F59">
        <v>0.80156700000000003</v>
      </c>
      <c r="G59">
        <f t="shared" si="24"/>
        <v>-0.19190909805418635</v>
      </c>
      <c r="H59">
        <f t="shared" si="25"/>
        <v>0</v>
      </c>
      <c r="I59" s="1">
        <f t="shared" si="26"/>
        <v>-0.19190909805418635</v>
      </c>
      <c r="J59">
        <f t="shared" si="27"/>
        <v>-0.19190909805418635</v>
      </c>
      <c r="K59">
        <v>0</v>
      </c>
    </row>
    <row r="60" spans="1:11" x14ac:dyDescent="0.25">
      <c r="B60" t="s">
        <v>135</v>
      </c>
      <c r="C60">
        <v>-2.5413899999999998</v>
      </c>
      <c r="E60" s="1">
        <f t="shared" si="23"/>
        <v>-2.5413899999999998</v>
      </c>
      <c r="F60">
        <v>0.82226900000000003</v>
      </c>
      <c r="G60">
        <f t="shared" si="24"/>
        <v>-3.090703893737937</v>
      </c>
      <c r="H60">
        <f t="shared" si="25"/>
        <v>0</v>
      </c>
      <c r="I60" s="1">
        <f t="shared" si="26"/>
        <v>-3.090703893737937</v>
      </c>
      <c r="J60">
        <f t="shared" si="27"/>
        <v>-3.090703893737937</v>
      </c>
      <c r="K60">
        <v>0</v>
      </c>
    </row>
    <row r="61" spans="1:11" x14ac:dyDescent="0.25">
      <c r="B61" t="s">
        <v>32</v>
      </c>
      <c r="F61">
        <v>1.5693700000000001E-2</v>
      </c>
    </row>
    <row r="62" spans="1:11" x14ac:dyDescent="0.25">
      <c r="B62" t="s">
        <v>33</v>
      </c>
      <c r="F62">
        <v>1.56975E-2</v>
      </c>
    </row>
    <row r="63" spans="1:11" x14ac:dyDescent="0.25">
      <c r="B63" t="s">
        <v>28</v>
      </c>
      <c r="C63">
        <f>C55+C57+C59</f>
        <v>-0.2582778</v>
      </c>
      <c r="E63" s="1">
        <f t="shared" ref="E63:E64" si="28">SUM(C63:D63)</f>
        <v>-0.2582778</v>
      </c>
      <c r="F63">
        <f>F55+F57+F59</f>
        <v>1.0547294</v>
      </c>
      <c r="G63">
        <f t="shared" ref="G63:G64" si="29">C63/F63</f>
        <v>-0.2448758894935516</v>
      </c>
      <c r="H63">
        <f t="shared" ref="H63:H64" si="30">D63/F63</f>
        <v>0</v>
      </c>
      <c r="I63" s="1">
        <f t="shared" ref="I63:I64" si="31">E63/F63</f>
        <v>-0.2448758894935516</v>
      </c>
      <c r="J63">
        <f t="shared" ref="J63:J64" si="32">SUM(G63:H63)</f>
        <v>-0.2448758894935516</v>
      </c>
      <c r="K63">
        <v>0</v>
      </c>
    </row>
    <row r="64" spans="1:11" x14ac:dyDescent="0.25">
      <c r="B64" t="s">
        <v>29</v>
      </c>
      <c r="C64">
        <f>C56+C58+C60</f>
        <v>-2.8934552</v>
      </c>
      <c r="E64" s="1">
        <f t="shared" si="28"/>
        <v>-2.8934552</v>
      </c>
      <c r="F64">
        <f>F56+F58+F60</f>
        <v>1.2579766000000001</v>
      </c>
      <c r="G64">
        <f t="shared" si="29"/>
        <v>-2.3000866629792633</v>
      </c>
      <c r="H64">
        <f t="shared" si="30"/>
        <v>0</v>
      </c>
      <c r="I64" s="1">
        <f t="shared" si="31"/>
        <v>-2.3000866629792633</v>
      </c>
      <c r="J64">
        <f t="shared" si="32"/>
        <v>-2.3000866629792633</v>
      </c>
      <c r="K64">
        <v>0</v>
      </c>
    </row>
    <row r="65" spans="1:11" x14ac:dyDescent="0.25">
      <c r="A65" t="s">
        <v>43</v>
      </c>
      <c r="B65" t="s">
        <v>24</v>
      </c>
    </row>
    <row r="66" spans="1:11" x14ac:dyDescent="0.25">
      <c r="B66" t="s">
        <v>25</v>
      </c>
    </row>
    <row r="67" spans="1:11" x14ac:dyDescent="0.25">
      <c r="B67" t="s">
        <v>26</v>
      </c>
    </row>
    <row r="68" spans="1:11" x14ac:dyDescent="0.25">
      <c r="B68" t="s">
        <v>27</v>
      </c>
    </row>
    <row r="69" spans="1:11" x14ac:dyDescent="0.25">
      <c r="B69" t="s">
        <v>134</v>
      </c>
    </row>
    <row r="70" spans="1:11" x14ac:dyDescent="0.25">
      <c r="B70" t="s">
        <v>135</v>
      </c>
    </row>
    <row r="71" spans="1:11" x14ac:dyDescent="0.25">
      <c r="B71" t="s">
        <v>28</v>
      </c>
    </row>
    <row r="72" spans="1:11" x14ac:dyDescent="0.25">
      <c r="B72" t="s">
        <v>29</v>
      </c>
    </row>
    <row r="73" spans="1:11" x14ac:dyDescent="0.25">
      <c r="A73" t="s">
        <v>44</v>
      </c>
      <c r="B73" t="s">
        <v>32</v>
      </c>
      <c r="C73">
        <v>-2.56765</v>
      </c>
      <c r="E73" s="1">
        <f t="shared" ref="E73:E74" si="33">SUM(C73:D73)</f>
        <v>-2.56765</v>
      </c>
      <c r="F73">
        <f>F11+F51+F61</f>
        <v>1.2778974999999999</v>
      </c>
      <c r="G73">
        <f t="shared" ref="G73:G74" si="34">C73/F73</f>
        <v>-2.0092769568764317</v>
      </c>
      <c r="H73">
        <f t="shared" ref="H73:H74" si="35">D73/F73</f>
        <v>0</v>
      </c>
      <c r="I73" s="1">
        <f t="shared" ref="I73:I74" si="36">E73/F73</f>
        <v>-2.0092769568764317</v>
      </c>
      <c r="J73">
        <f t="shared" ref="J73:J74" si="37">SUM(G73:H73)</f>
        <v>-2.0092769568764317</v>
      </c>
      <c r="K73">
        <v>0</v>
      </c>
    </row>
    <row r="74" spans="1:11" x14ac:dyDescent="0.25">
      <c r="B74" t="s">
        <v>33</v>
      </c>
      <c r="C74">
        <v>-3.0131800000000002</v>
      </c>
      <c r="E74" s="1">
        <f t="shared" si="33"/>
        <v>-3.0131800000000002</v>
      </c>
      <c r="F74">
        <f>F12+F52+F62</f>
        <v>1.2697925999999999</v>
      </c>
      <c r="G74">
        <f t="shared" si="34"/>
        <v>-2.3729702000153412</v>
      </c>
      <c r="H74">
        <f t="shared" si="35"/>
        <v>0</v>
      </c>
      <c r="I74" s="1">
        <f t="shared" si="36"/>
        <v>-2.3729702000153412</v>
      </c>
      <c r="J74">
        <f t="shared" si="37"/>
        <v>-2.3729702000153412</v>
      </c>
      <c r="K74">
        <v>0</v>
      </c>
    </row>
    <row r="75" spans="1:11" x14ac:dyDescent="0.25">
      <c r="A75" t="s">
        <v>9</v>
      </c>
      <c r="B75" t="s">
        <v>52</v>
      </c>
    </row>
    <row r="76" spans="1:11" x14ac:dyDescent="0.25">
      <c r="B76" t="s">
        <v>53</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
  <sheetViews>
    <sheetView workbookViewId="0">
      <selection activeCell="C17" sqref="C17"/>
    </sheetView>
  </sheetViews>
  <sheetFormatPr defaultRowHeight="15" x14ac:dyDescent="0.25"/>
  <cols>
    <col min="1" max="1" width="11.28515625" customWidth="1"/>
    <col min="2" max="2" width="18.5703125" bestFit="1" customWidth="1"/>
    <col min="3" max="3" width="18.7109375" bestFit="1" customWidth="1"/>
    <col min="4" max="4" width="19" bestFit="1" customWidth="1"/>
    <col min="5" max="5" width="19.42578125" bestFit="1" customWidth="1"/>
    <col min="6" max="6" width="23.7109375" bestFit="1" customWidth="1"/>
    <col min="7" max="7" width="23.85546875" bestFit="1" customWidth="1"/>
    <col min="8" max="8" width="20.7109375" bestFit="1" customWidth="1"/>
    <col min="9" max="10" width="12" customWidth="1"/>
    <col min="11" max="11" width="22" bestFit="1" customWidth="1"/>
    <col min="12" max="14" width="22" customWidth="1"/>
    <col min="15" max="15" width="25.7109375" customWidth="1"/>
    <col min="16" max="16" width="26.7109375" customWidth="1"/>
    <col min="17" max="17" width="18.5703125" bestFit="1" customWidth="1"/>
    <col min="18" max="18" width="30.28515625" bestFit="1" customWidth="1"/>
    <col min="19" max="19" width="17" bestFit="1" customWidth="1"/>
  </cols>
  <sheetData>
    <row r="1" spans="1:19" x14ac:dyDescent="0.25">
      <c r="A1" t="s">
        <v>87</v>
      </c>
      <c r="B1" s="1" t="s">
        <v>93</v>
      </c>
      <c r="C1" s="1" t="s">
        <v>94</v>
      </c>
      <c r="D1" s="1" t="s">
        <v>95</v>
      </c>
      <c r="E1" s="1" t="s">
        <v>96</v>
      </c>
      <c r="F1" s="1" t="s">
        <v>97</v>
      </c>
      <c r="G1" s="1" t="s">
        <v>98</v>
      </c>
      <c r="H1" s="1" t="s">
        <v>99</v>
      </c>
      <c r="I1" s="1" t="s">
        <v>92</v>
      </c>
      <c r="J1" s="1" t="s">
        <v>88</v>
      </c>
      <c r="K1" s="1" t="s">
        <v>102</v>
      </c>
      <c r="L1" s="1" t="s">
        <v>114</v>
      </c>
      <c r="M1" s="1" t="s">
        <v>115</v>
      </c>
      <c r="N1" s="1" t="s">
        <v>121</v>
      </c>
      <c r="O1" s="1" t="s">
        <v>111</v>
      </c>
      <c r="P1" s="1" t="s">
        <v>116</v>
      </c>
      <c r="Q1" s="1" t="s">
        <v>119</v>
      </c>
      <c r="R1" s="1" t="s">
        <v>118</v>
      </c>
      <c r="S1" s="1" t="s">
        <v>120</v>
      </c>
    </row>
    <row r="2" spans="1:19" x14ac:dyDescent="0.25">
      <c r="A2" t="s">
        <v>1</v>
      </c>
      <c r="B2">
        <v>10.2429066</v>
      </c>
      <c r="C2">
        <v>9.6157340999999992</v>
      </c>
      <c r="D2">
        <f>1/(1/B2+1/B9+1/B10)</f>
        <v>8.9117130374568525</v>
      </c>
      <c r="E2">
        <f>1/(1/C2+1/B9+1/B10)</f>
        <v>8.4331570742743853</v>
      </c>
      <c r="F2">
        <v>4909.33450027853</v>
      </c>
      <c r="G2">
        <v>4115.0357450637803</v>
      </c>
      <c r="H2">
        <f>F2-G2</f>
        <v>794.29875521474969</v>
      </c>
      <c r="I2">
        <f>(LN(D2)-LN(E2))/(LN(F2)-LN(G2))</f>
        <v>0.31273728665650741</v>
      </c>
      <c r="J2">
        <f>1/(1-I2)</f>
        <v>1.4550476558448211</v>
      </c>
      <c r="K2">
        <f>H2/(J2*D2)</f>
        <v>61.255553833455721</v>
      </c>
      <c r="L2" s="3">
        <f>F2*B14</f>
        <v>1728.1817767358882</v>
      </c>
      <c r="M2" s="3">
        <f>G2*B14</f>
        <v>1448.5730774369811</v>
      </c>
      <c r="N2" s="3">
        <f>-1*(0.036*(SQRT(M2)-SQRT(L2))-(0.47*LN(1+0.0000201*(M2*B16)^0.75+0.00000000000000531*M2*(M2*B16)^1.52))+(0.47*LN(1+0.0000201*(L2*B16)^0.75+0.00000000000000531*L2*(L2*B16)^1.52)))</f>
        <v>0.10851727271333653</v>
      </c>
      <c r="O2" s="3">
        <f>N2/K2*1000</f>
        <v>1.7715499399185588</v>
      </c>
      <c r="P2" s="3">
        <f>0.15*O2</f>
        <v>0.26573249098778379</v>
      </c>
      <c r="Q2">
        <f>OsloCTM2!J75+OsloCTM2!K75</f>
        <v>57.348620000000004</v>
      </c>
      <c r="R2">
        <f>Q2/K2</f>
        <v>0.93621910848968792</v>
      </c>
      <c r="S2" s="3">
        <f>R2/O2</f>
        <v>0.52847457889486738</v>
      </c>
    </row>
    <row r="3" spans="1:19" x14ac:dyDescent="0.25">
      <c r="A3" t="s">
        <v>55</v>
      </c>
      <c r="B3">
        <v>5.96</v>
      </c>
      <c r="C3">
        <v>5.63</v>
      </c>
      <c r="D3">
        <f>1/(1/B3+1/B9+1/B10)</f>
        <v>5.4834010580387949</v>
      </c>
      <c r="E3">
        <f>1/(1/C3+1/B9+1/B10)</f>
        <v>5.2028262836680081</v>
      </c>
      <c r="F3">
        <v>4560.8</v>
      </c>
      <c r="G3">
        <v>3702.4</v>
      </c>
      <c r="H3">
        <f>F3-G3</f>
        <v>858.40000000000009</v>
      </c>
      <c r="I3">
        <f>(LN(D3)-LN(E3))/(LN(F3)-LN(G3))</f>
        <v>0.2518912063341377</v>
      </c>
      <c r="J3">
        <f>1/(1-I3)</f>
        <v>1.3367039773718301</v>
      </c>
      <c r="K3">
        <f>H3/(J3*D3)</f>
        <v>117.11282499413943</v>
      </c>
      <c r="L3" s="3">
        <f>F3*B14</f>
        <v>1605.4908148731488</v>
      </c>
      <c r="M3" s="3">
        <f>G3*B14</f>
        <v>1303.3172235104248</v>
      </c>
      <c r="N3" s="3">
        <f>-1*(0.036*(SQRT(M3)-SQRT(L3))-(0.47*LN(1+0.0000201*(M3*B16)^0.75+0.00000000000000531*M3*(M3*B16)^1.52))+(0.47*LN(1+0.0000201*(L3*B16)^0.75+0.00000000000000531*L3*(L3*B16)^1.52)))</f>
        <v>0.12277626541405315</v>
      </c>
      <c r="O3" s="3">
        <f t="shared" ref="O3:O5" si="0">N3/K3*1000</f>
        <v>1.0483588404617268</v>
      </c>
      <c r="P3" s="3">
        <f t="shared" ref="P3:P5" si="1">0.15*O3</f>
        <v>0.157253826069259</v>
      </c>
      <c r="Q3">
        <f>-HadGEM3!D75</f>
        <v>64.007800000000003</v>
      </c>
      <c r="R3">
        <f>Q3/K3</f>
        <v>0.54654816842820664</v>
      </c>
      <c r="S3" s="3">
        <f t="shared" ref="S3:S5" si="2">R3/O3</f>
        <v>0.52133691951077687</v>
      </c>
    </row>
    <row r="4" spans="1:19" x14ac:dyDescent="0.25">
      <c r="A4" t="s">
        <v>100</v>
      </c>
      <c r="B4">
        <v>7.8</v>
      </c>
      <c r="C4">
        <v>7.67</v>
      </c>
      <c r="D4">
        <f>1/(1/B4+1/B9+1/B10)</f>
        <v>7.0033670033670026</v>
      </c>
      <c r="E4">
        <f>1/(1/C4+1/B9+1/B10)</f>
        <v>6.8983867038917719</v>
      </c>
      <c r="F4">
        <v>4814.8100000000004</v>
      </c>
      <c r="G4">
        <v>4488.79</v>
      </c>
      <c r="H4">
        <f>F4-G4</f>
        <v>326.02000000000044</v>
      </c>
      <c r="I4">
        <f>(LN(D4)-LN(E4))/(LN(F4)-LN(G4))</f>
        <v>0.21541473099722486</v>
      </c>
      <c r="J4">
        <f>1/(1-I4)</f>
        <v>1.2745587248547525</v>
      </c>
      <c r="K4">
        <f>H4/(J4*D4)</f>
        <v>36.523930457636858</v>
      </c>
      <c r="L4" s="3">
        <f>F4*B14</f>
        <v>1694.9073036220368</v>
      </c>
      <c r="M4" s="3">
        <f>G4*B14</f>
        <v>1580.1418862687337</v>
      </c>
      <c r="N4" s="3">
        <f>-1*(0.036*(SQRT(M4)-SQRT(L4))-(0.47*LN(1+0.0000201*(M4*B16)^0.75+0.00000000000000531*M4*(M4*B16)^1.52))+(0.47*LN(1+0.0000201*(L4*B16)^0.75+0.00000000000000531*L4*(L4*B16)^1.52)))</f>
        <v>4.380922795683781E-2</v>
      </c>
      <c r="O4" s="3">
        <f t="shared" si="0"/>
        <v>1.1994664157969246</v>
      </c>
      <c r="P4" s="3">
        <f t="shared" si="1"/>
        <v>0.17991996236953869</v>
      </c>
      <c r="Q4">
        <f>NorESM!E75+NorESM!F75</f>
        <v>19.92604</v>
      </c>
      <c r="R4">
        <f>Q4/K4</f>
        <v>0.54556121836645399</v>
      </c>
      <c r="S4" s="3">
        <f t="shared" si="2"/>
        <v>0.45483659332302651</v>
      </c>
    </row>
    <row r="5" spans="1:19" x14ac:dyDescent="0.25">
      <c r="A5" t="s">
        <v>101</v>
      </c>
      <c r="B5">
        <v>7.8</v>
      </c>
      <c r="C5">
        <v>7.67</v>
      </c>
      <c r="D5">
        <f>1/(1/B5+1/B9+1/B10)</f>
        <v>7.0033670033670026</v>
      </c>
      <c r="E5">
        <f>1/(1/C5+1/B9+1/B10)</f>
        <v>6.8983867038917719</v>
      </c>
      <c r="F5">
        <v>4814.8100000000004</v>
      </c>
      <c r="G5">
        <v>4497.57</v>
      </c>
      <c r="H5">
        <f>F5-G5</f>
        <v>317.24000000000069</v>
      </c>
      <c r="I5">
        <f>(LN(D5)-LN(E5))/(LN(F5)-LN(G5))</f>
        <v>0.22159049797205063</v>
      </c>
      <c r="J5">
        <f>1/(1-I5)</f>
        <v>1.2846708543443426</v>
      </c>
      <c r="K5">
        <f>H5/(J5*D5)</f>
        <v>35.260558286410635</v>
      </c>
      <c r="L5" s="3">
        <f>F5*B14</f>
        <v>1694.9073036220368</v>
      </c>
      <c r="M5" s="3">
        <f>G5*B14</f>
        <v>1583.2326180163627</v>
      </c>
      <c r="N5" s="3">
        <f>-1*(0.036*(SQRT(M5)-SQRT(L5))-(0.47*LN(1+0.0000201*(M5*B16)^0.75+0.00000000000000531*M5*(M5*B16)^1.52))+(0.47*LN(1+0.0000201*(L5*B16)^0.75+0.00000000000000531*L5*(L5*B16)^1.52)))</f>
        <v>4.2608308712299647E-2</v>
      </c>
      <c r="O5" s="3">
        <f t="shared" si="0"/>
        <v>1.2083844040756673</v>
      </c>
      <c r="P5" s="3">
        <f t="shared" si="1"/>
        <v>0.1812576606113501</v>
      </c>
      <c r="Q5">
        <f>NorESM!E76+NorESM!F76</f>
        <v>18.501639999999998</v>
      </c>
      <c r="R5">
        <f>Q5/K5</f>
        <v>0.52471205503091822</v>
      </c>
      <c r="S5" s="3">
        <f t="shared" si="2"/>
        <v>0.4342261065776396</v>
      </c>
    </row>
    <row r="6" spans="1:19" x14ac:dyDescent="0.25">
      <c r="N6" t="s">
        <v>112</v>
      </c>
      <c r="P6" t="s">
        <v>117</v>
      </c>
    </row>
    <row r="9" spans="1:19" x14ac:dyDescent="0.25">
      <c r="A9" t="s">
        <v>89</v>
      </c>
      <c r="B9">
        <v>120</v>
      </c>
      <c r="C9" t="s">
        <v>91</v>
      </c>
    </row>
    <row r="10" spans="1:19" x14ac:dyDescent="0.25">
      <c r="A10" t="s">
        <v>90</v>
      </c>
      <c r="B10">
        <v>160</v>
      </c>
      <c r="C10" t="s">
        <v>91</v>
      </c>
    </row>
    <row r="11" spans="1:19" x14ac:dyDescent="0.25">
      <c r="A11" t="s">
        <v>103</v>
      </c>
      <c r="B11" s="3">
        <v>5130000</v>
      </c>
      <c r="C11" t="s">
        <v>104</v>
      </c>
    </row>
    <row r="12" spans="1:19" x14ac:dyDescent="0.25">
      <c r="A12" t="s">
        <v>105</v>
      </c>
      <c r="B12">
        <v>28.966000000000001</v>
      </c>
    </row>
    <row r="13" spans="1:19" x14ac:dyDescent="0.25">
      <c r="A13" t="s">
        <v>106</v>
      </c>
      <c r="B13">
        <v>16.04</v>
      </c>
    </row>
    <row r="14" spans="1:19" x14ac:dyDescent="0.25">
      <c r="A14" t="s">
        <v>107</v>
      </c>
      <c r="B14" s="3">
        <f>B12/B13/B11*1000000</f>
        <v>0.35201956123336886</v>
      </c>
      <c r="C14" t="s">
        <v>108</v>
      </c>
    </row>
    <row r="15" spans="1:19" x14ac:dyDescent="0.25">
      <c r="A15" t="s">
        <v>109</v>
      </c>
      <c r="B15">
        <v>1788</v>
      </c>
      <c r="C15" t="s">
        <v>110</v>
      </c>
    </row>
    <row r="16" spans="1:19" x14ac:dyDescent="0.25">
      <c r="A16" t="s">
        <v>113</v>
      </c>
      <c r="B16">
        <v>325</v>
      </c>
      <c r="C16" t="s">
        <v>137</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76"/>
  <sheetViews>
    <sheetView tabSelected="1" workbookViewId="0">
      <pane xSplit="3" ySplit="4" topLeftCell="D5" activePane="bottomRight" state="frozen"/>
      <selection pane="topRight" activeCell="D1" sqref="D1"/>
      <selection pane="bottomLeft" activeCell="A5" sqref="A5"/>
      <selection pane="bottomRight"/>
    </sheetView>
  </sheetViews>
  <sheetFormatPr defaultRowHeight="15" x14ac:dyDescent="0.25"/>
  <cols>
    <col min="10" max="10" width="9.140625" style="1"/>
    <col min="15" max="15" width="9.140625" style="1"/>
    <col min="20" max="20" width="9.140625" style="1"/>
    <col min="22" max="22" width="9.140625" style="1"/>
    <col min="23" max="23" width="9.140625" style="4"/>
    <col min="30" max="30" width="9.140625" style="1"/>
    <col min="37" max="37" width="9.140625" style="1"/>
    <col min="44" max="44" width="9.140625" style="1"/>
  </cols>
  <sheetData>
    <row r="1" spans="1:44" x14ac:dyDescent="0.25">
      <c r="A1" t="s">
        <v>123</v>
      </c>
      <c r="O1" s="2" t="s">
        <v>78</v>
      </c>
      <c r="T1" t="s">
        <v>136</v>
      </c>
    </row>
    <row r="2" spans="1:44" x14ac:dyDescent="0.25">
      <c r="A2" t="s">
        <v>124</v>
      </c>
      <c r="D2" s="1" t="s">
        <v>133</v>
      </c>
      <c r="O2" s="2" t="s">
        <v>132</v>
      </c>
      <c r="Z2" t="s">
        <v>131</v>
      </c>
    </row>
    <row r="3" spans="1:44" x14ac:dyDescent="0.25">
      <c r="A3" t="s">
        <v>125</v>
      </c>
      <c r="D3" s="1" t="s">
        <v>1</v>
      </c>
      <c r="K3" s="1" t="s">
        <v>48</v>
      </c>
      <c r="P3" s="1" t="s">
        <v>55</v>
      </c>
      <c r="U3" s="1" t="s">
        <v>61</v>
      </c>
      <c r="W3" s="5" t="s">
        <v>86</v>
      </c>
      <c r="X3" s="1" t="s">
        <v>75</v>
      </c>
      <c r="AE3" s="1" t="s">
        <v>84</v>
      </c>
      <c r="AL3" s="1" t="s">
        <v>85</v>
      </c>
    </row>
    <row r="4" spans="1:44" x14ac:dyDescent="0.25">
      <c r="A4" t="s">
        <v>122</v>
      </c>
      <c r="B4" t="s">
        <v>126</v>
      </c>
      <c r="C4" t="s">
        <v>23</v>
      </c>
      <c r="D4" t="s">
        <v>79</v>
      </c>
      <c r="E4" t="s">
        <v>73</v>
      </c>
      <c r="F4" t="s">
        <v>80</v>
      </c>
      <c r="G4" t="s">
        <v>62</v>
      </c>
      <c r="H4" t="s">
        <v>63</v>
      </c>
      <c r="I4" t="s">
        <v>64</v>
      </c>
      <c r="J4" s="1" t="s">
        <v>21</v>
      </c>
      <c r="K4" t="s">
        <v>79</v>
      </c>
      <c r="L4" t="s">
        <v>62</v>
      </c>
      <c r="M4" t="s">
        <v>63</v>
      </c>
      <c r="N4" t="s">
        <v>64</v>
      </c>
      <c r="O4" s="1" t="s">
        <v>21</v>
      </c>
      <c r="P4" t="s">
        <v>79</v>
      </c>
      <c r="Q4" t="s">
        <v>62</v>
      </c>
      <c r="R4" t="s">
        <v>63</v>
      </c>
      <c r="S4" t="s">
        <v>64</v>
      </c>
      <c r="T4" s="1" t="s">
        <v>21</v>
      </c>
      <c r="U4" t="s">
        <v>79</v>
      </c>
      <c r="V4" s="1" t="s">
        <v>21</v>
      </c>
      <c r="X4" t="s">
        <v>79</v>
      </c>
      <c r="Y4" t="s">
        <v>73</v>
      </c>
      <c r="Z4" t="s">
        <v>80</v>
      </c>
      <c r="AA4" t="s">
        <v>62</v>
      </c>
      <c r="AB4" t="s">
        <v>63</v>
      </c>
      <c r="AC4" t="s">
        <v>64</v>
      </c>
      <c r="AD4" s="1" t="s">
        <v>21</v>
      </c>
      <c r="AE4" t="s">
        <v>79</v>
      </c>
      <c r="AF4" t="s">
        <v>73</v>
      </c>
      <c r="AG4" t="s">
        <v>80</v>
      </c>
      <c r="AH4" t="s">
        <v>62</v>
      </c>
      <c r="AI4" t="s">
        <v>63</v>
      </c>
      <c r="AJ4" t="s">
        <v>64</v>
      </c>
      <c r="AK4" s="1" t="s">
        <v>21</v>
      </c>
      <c r="AL4" t="s">
        <v>79</v>
      </c>
      <c r="AM4" t="s">
        <v>73</v>
      </c>
      <c r="AN4" t="s">
        <v>80</v>
      </c>
      <c r="AO4" t="s">
        <v>62</v>
      </c>
      <c r="AP4" t="s">
        <v>63</v>
      </c>
      <c r="AQ4" t="s">
        <v>64</v>
      </c>
      <c r="AR4" s="1" t="s">
        <v>21</v>
      </c>
    </row>
    <row r="5" spans="1:44" x14ac:dyDescent="0.25">
      <c r="A5" t="s">
        <v>2</v>
      </c>
      <c r="B5" t="s">
        <v>2</v>
      </c>
      <c r="C5" t="s">
        <v>24</v>
      </c>
      <c r="D5">
        <f>SUM(OsloCTM2!P5:U5)</f>
        <v>-3.88956015625</v>
      </c>
      <c r="E5">
        <f>OsloCTM2!I5</f>
        <v>0</v>
      </c>
      <c r="G5">
        <f>SUM(OsloCTM2!W5:X5)</f>
        <v>0</v>
      </c>
      <c r="H5">
        <f>OsloCTM2!Y5</f>
        <v>0</v>
      </c>
      <c r="I5">
        <f>OsloCTM2!Z5</f>
        <v>0</v>
      </c>
      <c r="J5" s="1">
        <f>SUM(D5:I5)</f>
        <v>-3.88956015625</v>
      </c>
      <c r="K5">
        <f>SUM(NorESM!K5:L5)+OsloCTM2!Q5</f>
        <v>-4.9700979319123526</v>
      </c>
      <c r="L5">
        <f>SUM(NorESM!M5:N5)</f>
        <v>0</v>
      </c>
      <c r="M5">
        <f>NorESM!O5</f>
        <v>0</v>
      </c>
      <c r="N5">
        <f>NorESM!P5</f>
        <v>0</v>
      </c>
      <c r="O5" s="1">
        <f>SUM(K5:N5)</f>
        <v>-4.9700979319123526</v>
      </c>
      <c r="P5">
        <f>HadGEM3!I5+OsloCTM2!Q5</f>
        <v>-7.2827395167844537</v>
      </c>
      <c r="Q5">
        <f>HadGEM3!J5</f>
        <v>0</v>
      </c>
      <c r="R5">
        <f>HadGEM3!K5</f>
        <v>0</v>
      </c>
      <c r="S5">
        <f>HadGEM3!L5</f>
        <v>0</v>
      </c>
      <c r="T5" s="1">
        <f>SUM(P5:S5)</f>
        <v>-7.2827395167844537</v>
      </c>
      <c r="U5">
        <f>SUM(ECHAM6!G5:H5)+OsloCTM2!Q5</f>
        <v>-2.4890708022194605</v>
      </c>
      <c r="V5" s="1">
        <f>SUM(U5)</f>
        <v>-2.4890708022194605</v>
      </c>
      <c r="W5" s="5" t="s">
        <v>76</v>
      </c>
      <c r="X5">
        <f>AVERAGE(D5,K5,P5)</f>
        <v>-5.3807992016489345</v>
      </c>
      <c r="Y5">
        <f>E5</f>
        <v>0</v>
      </c>
      <c r="Z5">
        <f>F5</f>
        <v>0</v>
      </c>
      <c r="AA5">
        <f>AVERAGE(G5,L5,Q5)</f>
        <v>0</v>
      </c>
      <c r="AB5">
        <f>AVERAGE(H5,M5,R5)</f>
        <v>0</v>
      </c>
      <c r="AC5">
        <f>AVERAGE(I5,N5,S5)</f>
        <v>0</v>
      </c>
      <c r="AD5" s="1">
        <f t="shared" ref="AD5:AD10" si="0">SUM(X5:AC5)</f>
        <v>-5.3807992016489345</v>
      </c>
      <c r="AE5">
        <f t="shared" ref="AE5:AE10" si="1">MIN(D5,K5,P5)</f>
        <v>-7.2827395167844537</v>
      </c>
      <c r="AF5">
        <f>Y5</f>
        <v>0</v>
      </c>
      <c r="AG5">
        <f>Z5</f>
        <v>0</v>
      </c>
      <c r="AH5">
        <f>MIN(G5,L5,Q5)</f>
        <v>0</v>
      </c>
      <c r="AI5">
        <f>MIN(H5,M5,R5)</f>
        <v>0</v>
      </c>
      <c r="AJ5">
        <f>MIN(I5,N5,S5)</f>
        <v>0</v>
      </c>
      <c r="AK5" s="1">
        <f>SUM(AE5:AJ5)</f>
        <v>-7.2827395167844537</v>
      </c>
      <c r="AL5">
        <f>MAX(D5,K5,P5)</f>
        <v>-3.88956015625</v>
      </c>
      <c r="AM5">
        <f>AF5</f>
        <v>0</v>
      </c>
      <c r="AN5">
        <f>Z5</f>
        <v>0</v>
      </c>
      <c r="AO5">
        <f>MAX(G5,L5,Q5)</f>
        <v>0</v>
      </c>
      <c r="AP5">
        <f>MAX(H5,M5,R5)</f>
        <v>0</v>
      </c>
      <c r="AQ5">
        <f>MAX(I5,N5,S5)</f>
        <v>0</v>
      </c>
      <c r="AR5" s="1">
        <f>SUM(AL5:AQ5)</f>
        <v>-3.88956015625</v>
      </c>
    </row>
    <row r="6" spans="1:44" x14ac:dyDescent="0.25">
      <c r="A6" t="s">
        <v>2</v>
      </c>
      <c r="B6" t="s">
        <v>2</v>
      </c>
      <c r="C6" t="s">
        <v>25</v>
      </c>
      <c r="D6">
        <f>SUM(OsloCTM2!P6:U6)</f>
        <v>-1.1524356626506025</v>
      </c>
      <c r="E6">
        <f>OsloCTM2!I6</f>
        <v>0</v>
      </c>
      <c r="G6">
        <f>SUM(OsloCTM2!W6:X6)</f>
        <v>0</v>
      </c>
      <c r="H6">
        <f>OsloCTM2!Y6</f>
        <v>0</v>
      </c>
      <c r="I6">
        <f>OsloCTM2!Z6</f>
        <v>0</v>
      </c>
      <c r="J6" s="1">
        <f t="shared" ref="J6:J76" si="2">SUM(D6:I6)</f>
        <v>-1.1524356626506025</v>
      </c>
      <c r="K6">
        <f>SUM(NorESM!K6:L6)+OsloCTM2!Q6</f>
        <v>-0.75502659886324119</v>
      </c>
      <c r="L6">
        <f>SUM(NorESM!M6:N6)</f>
        <v>0</v>
      </c>
      <c r="M6">
        <f>NorESM!O6</f>
        <v>0</v>
      </c>
      <c r="N6">
        <f>NorESM!P6</f>
        <v>0</v>
      </c>
      <c r="O6" s="1">
        <f t="shared" ref="O6:O76" si="3">SUM(K6:N6)</f>
        <v>-0.75502659886324119</v>
      </c>
      <c r="P6">
        <f>HadGEM3!I6+OsloCTM2!Q6</f>
        <v>-1.8970012404459162</v>
      </c>
      <c r="Q6">
        <f>HadGEM3!J6</f>
        <v>0</v>
      </c>
      <c r="R6">
        <f>HadGEM3!K6</f>
        <v>0</v>
      </c>
      <c r="S6">
        <f>HadGEM3!L6</f>
        <v>0</v>
      </c>
      <c r="T6" s="1">
        <f t="shared" ref="T6:T76" si="4">SUM(P6:S6)</f>
        <v>-1.8970012404459162</v>
      </c>
      <c r="U6">
        <f>SUM(ECHAM6!G6:H6)+OsloCTM2!Q6</f>
        <v>-1.0156236966513552</v>
      </c>
      <c r="V6" s="1">
        <f t="shared" ref="V6:V76" si="5">SUM(U6)</f>
        <v>-1.0156236966513552</v>
      </c>
      <c r="W6" s="5" t="s">
        <v>76</v>
      </c>
      <c r="X6">
        <f t="shared" ref="X6:X10" si="6">AVERAGE(D6,K6,P6)</f>
        <v>-1.2681545006532533</v>
      </c>
      <c r="Y6">
        <f t="shared" ref="Y6:Z10" si="7">E6</f>
        <v>0</v>
      </c>
      <c r="Z6">
        <f t="shared" si="7"/>
        <v>0</v>
      </c>
      <c r="AA6">
        <f t="shared" ref="AA6:AC10" si="8">AVERAGE(G6,L6,Q6)</f>
        <v>0</v>
      </c>
      <c r="AB6">
        <f t="shared" si="8"/>
        <v>0</v>
      </c>
      <c r="AC6">
        <f t="shared" si="8"/>
        <v>0</v>
      </c>
      <c r="AD6" s="1">
        <f t="shared" si="0"/>
        <v>-1.2681545006532533</v>
      </c>
      <c r="AE6">
        <f t="shared" si="1"/>
        <v>-1.8970012404459162</v>
      </c>
      <c r="AF6">
        <f t="shared" ref="AF6:AG10" si="9">Y6</f>
        <v>0</v>
      </c>
      <c r="AG6">
        <f t="shared" si="9"/>
        <v>0</v>
      </c>
      <c r="AH6">
        <f t="shared" ref="AH6:AJ10" si="10">MIN(G6,L6,Q6)</f>
        <v>0</v>
      </c>
      <c r="AI6">
        <f t="shared" si="10"/>
        <v>0</v>
      </c>
      <c r="AJ6">
        <f t="shared" si="10"/>
        <v>0</v>
      </c>
      <c r="AK6" s="1">
        <f t="shared" ref="AK6:AK10" si="11">SUM(AE6:AJ6)</f>
        <v>-1.8970012404459162</v>
      </c>
      <c r="AL6">
        <f t="shared" ref="AL6:AL10" si="12">MAX(D6,K6,P6)</f>
        <v>-0.75502659886324119</v>
      </c>
      <c r="AM6">
        <f t="shared" ref="AM6:AM10" si="13">AF6</f>
        <v>0</v>
      </c>
      <c r="AN6">
        <f t="shared" ref="AN6:AN10" si="14">Z6</f>
        <v>0</v>
      </c>
      <c r="AO6">
        <f t="shared" ref="AO6:AQ10" si="15">MAX(G6,L6,Q6)</f>
        <v>0</v>
      </c>
      <c r="AP6">
        <f t="shared" si="15"/>
        <v>0</v>
      </c>
      <c r="AQ6">
        <f t="shared" si="15"/>
        <v>0</v>
      </c>
      <c r="AR6" s="1">
        <f t="shared" ref="AR6:AR10" si="16">SUM(AL6:AQ6)</f>
        <v>-0.75502659886324119</v>
      </c>
    </row>
    <row r="7" spans="1:44" x14ac:dyDescent="0.25">
      <c r="A7" t="s">
        <v>2</v>
      </c>
      <c r="B7" t="s">
        <v>2</v>
      </c>
      <c r="C7" t="s">
        <v>26</v>
      </c>
      <c r="D7">
        <f>SUM(OsloCTM2!P7:U7)</f>
        <v>-3.1650206732295967</v>
      </c>
      <c r="E7">
        <f>OsloCTM2!I7</f>
        <v>0</v>
      </c>
      <c r="G7">
        <f>SUM(OsloCTM2!W7:X7)</f>
        <v>0</v>
      </c>
      <c r="H7">
        <f>OsloCTM2!Y7</f>
        <v>0</v>
      </c>
      <c r="I7">
        <f>OsloCTM2!Z7</f>
        <v>0</v>
      </c>
      <c r="J7" s="1">
        <f t="shared" si="2"/>
        <v>-3.1650206732295967</v>
      </c>
      <c r="K7">
        <f>SUM(NorESM!K7:L7)+OsloCTM2!Q7</f>
        <v>-5.4576724605187055</v>
      </c>
      <c r="L7">
        <f>SUM(NorESM!M7:N7)</f>
        <v>0</v>
      </c>
      <c r="M7">
        <f>NorESM!O7</f>
        <v>0</v>
      </c>
      <c r="N7">
        <f>NorESM!P7</f>
        <v>0</v>
      </c>
      <c r="O7" s="1">
        <f t="shared" si="3"/>
        <v>-5.4576724605187055</v>
      </c>
      <c r="P7">
        <f>HadGEM3!I7+OsloCTM2!Q7</f>
        <v>-5.5462416067715541</v>
      </c>
      <c r="Q7">
        <f>HadGEM3!J7</f>
        <v>0</v>
      </c>
      <c r="R7">
        <f>HadGEM3!K7</f>
        <v>0</v>
      </c>
      <c r="S7">
        <f>HadGEM3!L7</f>
        <v>0</v>
      </c>
      <c r="T7" s="1">
        <f t="shared" si="4"/>
        <v>-5.5462416067715541</v>
      </c>
      <c r="U7">
        <f>SUM(ECHAM6!G7:H7)+OsloCTM2!Q7</f>
        <v>-1.0486499496099688</v>
      </c>
      <c r="V7" s="1">
        <f t="shared" si="5"/>
        <v>-1.0486499496099688</v>
      </c>
      <c r="W7" s="5" t="s">
        <v>76</v>
      </c>
      <c r="X7">
        <f t="shared" si="6"/>
        <v>-4.7229782468399524</v>
      </c>
      <c r="Y7">
        <f t="shared" si="7"/>
        <v>0</v>
      </c>
      <c r="Z7">
        <f t="shared" si="7"/>
        <v>0</v>
      </c>
      <c r="AA7">
        <f t="shared" si="8"/>
        <v>0</v>
      </c>
      <c r="AB7">
        <f t="shared" si="8"/>
        <v>0</v>
      </c>
      <c r="AC7">
        <f t="shared" si="8"/>
        <v>0</v>
      </c>
      <c r="AD7" s="1">
        <f t="shared" si="0"/>
        <v>-4.7229782468399524</v>
      </c>
      <c r="AE7">
        <f t="shared" si="1"/>
        <v>-5.5462416067715541</v>
      </c>
      <c r="AF7">
        <f t="shared" si="9"/>
        <v>0</v>
      </c>
      <c r="AG7">
        <f t="shared" si="9"/>
        <v>0</v>
      </c>
      <c r="AH7">
        <f t="shared" si="10"/>
        <v>0</v>
      </c>
      <c r="AI7">
        <f t="shared" si="10"/>
        <v>0</v>
      </c>
      <c r="AJ7">
        <f t="shared" si="10"/>
        <v>0</v>
      </c>
      <c r="AK7" s="1">
        <f t="shared" si="11"/>
        <v>-5.5462416067715541</v>
      </c>
      <c r="AL7">
        <f t="shared" si="12"/>
        <v>-3.1650206732295967</v>
      </c>
      <c r="AM7">
        <f t="shared" si="13"/>
        <v>0</v>
      </c>
      <c r="AN7">
        <f t="shared" si="14"/>
        <v>0</v>
      </c>
      <c r="AO7">
        <f t="shared" si="15"/>
        <v>0</v>
      </c>
      <c r="AP7">
        <f t="shared" si="15"/>
        <v>0</v>
      </c>
      <c r="AQ7">
        <f t="shared" si="15"/>
        <v>0</v>
      </c>
      <c r="AR7" s="1">
        <f t="shared" si="16"/>
        <v>-3.1650206732295967</v>
      </c>
    </row>
    <row r="8" spans="1:44" x14ac:dyDescent="0.25">
      <c r="A8" t="s">
        <v>2</v>
      </c>
      <c r="B8" t="s">
        <v>2</v>
      </c>
      <c r="C8" t="s">
        <v>27</v>
      </c>
      <c r="D8">
        <f>SUM(OsloCTM2!P8:U8)</f>
        <v>-2.5399556828459451</v>
      </c>
      <c r="E8">
        <f>OsloCTM2!I8</f>
        <v>0</v>
      </c>
      <c r="G8">
        <f>SUM(OsloCTM2!W8:X8)</f>
        <v>0</v>
      </c>
      <c r="H8">
        <f>OsloCTM2!Y8</f>
        <v>0</v>
      </c>
      <c r="I8">
        <f>OsloCTM2!Z8</f>
        <v>0</v>
      </c>
      <c r="J8" s="1">
        <f t="shared" si="2"/>
        <v>-2.5399556828459451</v>
      </c>
      <c r="K8">
        <f>SUM(NorESM!K8:L8)+OsloCTM2!Q8</f>
        <v>-2.429487507342921</v>
      </c>
      <c r="L8">
        <f>SUM(NorESM!M8:N8)</f>
        <v>0</v>
      </c>
      <c r="M8">
        <f>NorESM!O8</f>
        <v>0</v>
      </c>
      <c r="N8">
        <f>NorESM!P8</f>
        <v>0</v>
      </c>
      <c r="O8" s="1">
        <f t="shared" si="3"/>
        <v>-2.429487507342921</v>
      </c>
      <c r="P8">
        <f>HadGEM3!I8+OsloCTM2!Q8</f>
        <v>-1.8181204242204099</v>
      </c>
      <c r="Q8">
        <f>HadGEM3!J8</f>
        <v>0</v>
      </c>
      <c r="R8">
        <f>HadGEM3!K8</f>
        <v>0</v>
      </c>
      <c r="S8">
        <f>HadGEM3!L8</f>
        <v>0</v>
      </c>
      <c r="T8" s="1">
        <f t="shared" si="4"/>
        <v>-1.8181204242204099</v>
      </c>
      <c r="U8">
        <f>SUM(ECHAM6!G8:H8)+OsloCTM2!Q8</f>
        <v>-1.4995875862948174</v>
      </c>
      <c r="V8" s="1">
        <f t="shared" si="5"/>
        <v>-1.4995875862948174</v>
      </c>
      <c r="W8" s="5" t="s">
        <v>76</v>
      </c>
      <c r="X8">
        <f t="shared" si="6"/>
        <v>-2.2625212048030918</v>
      </c>
      <c r="Y8">
        <f t="shared" si="7"/>
        <v>0</v>
      </c>
      <c r="Z8">
        <f t="shared" si="7"/>
        <v>0</v>
      </c>
      <c r="AA8">
        <f t="shared" si="8"/>
        <v>0</v>
      </c>
      <c r="AB8">
        <f t="shared" si="8"/>
        <v>0</v>
      </c>
      <c r="AC8">
        <f t="shared" si="8"/>
        <v>0</v>
      </c>
      <c r="AD8" s="1">
        <f t="shared" si="0"/>
        <v>-2.2625212048030918</v>
      </c>
      <c r="AE8">
        <f t="shared" si="1"/>
        <v>-2.5399556828459451</v>
      </c>
      <c r="AF8">
        <f t="shared" si="9"/>
        <v>0</v>
      </c>
      <c r="AG8">
        <f t="shared" si="9"/>
        <v>0</v>
      </c>
      <c r="AH8">
        <f t="shared" si="10"/>
        <v>0</v>
      </c>
      <c r="AI8">
        <f t="shared" si="10"/>
        <v>0</v>
      </c>
      <c r="AJ8">
        <f t="shared" si="10"/>
        <v>0</v>
      </c>
      <c r="AK8" s="1">
        <f t="shared" si="11"/>
        <v>-2.5399556828459451</v>
      </c>
      <c r="AL8">
        <f t="shared" si="12"/>
        <v>-1.8181204242204099</v>
      </c>
      <c r="AM8">
        <f t="shared" si="13"/>
        <v>0</v>
      </c>
      <c r="AN8">
        <f t="shared" si="14"/>
        <v>0</v>
      </c>
      <c r="AO8">
        <f t="shared" si="15"/>
        <v>0</v>
      </c>
      <c r="AP8">
        <f t="shared" si="15"/>
        <v>0</v>
      </c>
      <c r="AQ8">
        <f t="shared" si="15"/>
        <v>0</v>
      </c>
      <c r="AR8" s="1">
        <f t="shared" si="16"/>
        <v>-1.8181204242204099</v>
      </c>
    </row>
    <row r="9" spans="1:44" x14ac:dyDescent="0.25">
      <c r="A9" t="s">
        <v>2</v>
      </c>
      <c r="B9" t="s">
        <v>2</v>
      </c>
      <c r="C9" t="s">
        <v>134</v>
      </c>
      <c r="D9">
        <f>SUM(OsloCTM2!P9:U9)</f>
        <v>-7.9693390224980609</v>
      </c>
      <c r="E9">
        <f>OsloCTM2!I9</f>
        <v>0</v>
      </c>
      <c r="G9">
        <f>SUM(OsloCTM2!W9:X9)</f>
        <v>0</v>
      </c>
      <c r="H9">
        <f>OsloCTM2!Y9</f>
        <v>0</v>
      </c>
      <c r="I9">
        <f>OsloCTM2!Z9</f>
        <v>0</v>
      </c>
      <c r="J9" s="1">
        <f t="shared" si="2"/>
        <v>-7.9693390224980609</v>
      </c>
      <c r="K9">
        <f>SUM(NorESM!K9:L9)+OsloCTM2!Q9</f>
        <v>-10.929022092198341</v>
      </c>
      <c r="L9">
        <f>SUM(NorESM!M9:N9)</f>
        <v>0</v>
      </c>
      <c r="M9">
        <f>NorESM!O9</f>
        <v>0</v>
      </c>
      <c r="N9">
        <f>NorESM!P9</f>
        <v>0</v>
      </c>
      <c r="O9" s="1">
        <f t="shared" si="3"/>
        <v>-10.929022092198341</v>
      </c>
      <c r="P9">
        <f>HadGEM3!I9+OsloCTM2!Q9</f>
        <v>-16.814711521260904</v>
      </c>
      <c r="Q9">
        <f>HadGEM3!J9</f>
        <v>0</v>
      </c>
      <c r="R9">
        <f>HadGEM3!K9</f>
        <v>0</v>
      </c>
      <c r="S9">
        <f>HadGEM3!L9</f>
        <v>0</v>
      </c>
      <c r="T9" s="1">
        <f t="shared" si="4"/>
        <v>-16.814711521260904</v>
      </c>
      <c r="U9">
        <f>SUM(ECHAM6!G9:H9)+OsloCTM2!Q9</f>
        <v>-3.2123006905063791</v>
      </c>
      <c r="V9" s="1">
        <f t="shared" si="5"/>
        <v>-3.2123006905063791</v>
      </c>
      <c r="W9" s="5" t="s">
        <v>76</v>
      </c>
      <c r="X9">
        <f t="shared" si="6"/>
        <v>-11.904357545319101</v>
      </c>
      <c r="Y9">
        <f t="shared" si="7"/>
        <v>0</v>
      </c>
      <c r="Z9">
        <f t="shared" si="7"/>
        <v>0</v>
      </c>
      <c r="AA9">
        <f t="shared" si="8"/>
        <v>0</v>
      </c>
      <c r="AB9">
        <f t="shared" si="8"/>
        <v>0</v>
      </c>
      <c r="AC9">
        <f t="shared" si="8"/>
        <v>0</v>
      </c>
      <c r="AD9" s="1">
        <f t="shared" si="0"/>
        <v>-11.904357545319101</v>
      </c>
      <c r="AE9">
        <f t="shared" si="1"/>
        <v>-16.814711521260904</v>
      </c>
      <c r="AF9">
        <f t="shared" si="9"/>
        <v>0</v>
      </c>
      <c r="AG9">
        <f t="shared" si="9"/>
        <v>0</v>
      </c>
      <c r="AH9">
        <f t="shared" si="10"/>
        <v>0</v>
      </c>
      <c r="AI9">
        <f t="shared" si="10"/>
        <v>0</v>
      </c>
      <c r="AJ9">
        <f t="shared" si="10"/>
        <v>0</v>
      </c>
      <c r="AK9" s="1">
        <f t="shared" si="11"/>
        <v>-16.814711521260904</v>
      </c>
      <c r="AL9">
        <f t="shared" si="12"/>
        <v>-7.9693390224980609</v>
      </c>
      <c r="AM9">
        <f t="shared" si="13"/>
        <v>0</v>
      </c>
      <c r="AN9">
        <f t="shared" si="14"/>
        <v>0</v>
      </c>
      <c r="AO9">
        <f t="shared" si="15"/>
        <v>0</v>
      </c>
      <c r="AP9">
        <f t="shared" si="15"/>
        <v>0</v>
      </c>
      <c r="AQ9">
        <f t="shared" si="15"/>
        <v>0</v>
      </c>
      <c r="AR9" s="1">
        <f t="shared" si="16"/>
        <v>-7.9693390224980609</v>
      </c>
    </row>
    <row r="10" spans="1:44" x14ac:dyDescent="0.25">
      <c r="A10" t="s">
        <v>2</v>
      </c>
      <c r="B10" t="s">
        <v>2</v>
      </c>
      <c r="C10" t="s">
        <v>135</v>
      </c>
      <c r="D10">
        <f>SUM(OsloCTM2!P10:U10)</f>
        <v>-8.0357242718446606</v>
      </c>
      <c r="E10">
        <f>OsloCTM2!I10</f>
        <v>0</v>
      </c>
      <c r="G10">
        <f>SUM(OsloCTM2!W10:X10)</f>
        <v>0</v>
      </c>
      <c r="H10">
        <f>OsloCTM2!Y10</f>
        <v>0</v>
      </c>
      <c r="I10">
        <f>OsloCTM2!Z10</f>
        <v>0</v>
      </c>
      <c r="J10" s="1">
        <f t="shared" si="2"/>
        <v>-8.0357242718446606</v>
      </c>
      <c r="K10">
        <f>SUM(NorESM!K10:L10)+OsloCTM2!Q10</f>
        <v>-9.2510696825476693</v>
      </c>
      <c r="L10">
        <f>SUM(NorESM!M10:N10)</f>
        <v>0</v>
      </c>
      <c r="M10">
        <f>NorESM!O10</f>
        <v>0</v>
      </c>
      <c r="N10">
        <f>NorESM!P10</f>
        <v>0</v>
      </c>
      <c r="O10" s="1">
        <f t="shared" si="3"/>
        <v>-9.2510696825476693</v>
      </c>
      <c r="P10">
        <f>HadGEM3!I10+OsloCTM2!Q10</f>
        <v>-13.127955137503987</v>
      </c>
      <c r="Q10">
        <f>HadGEM3!J10</f>
        <v>0</v>
      </c>
      <c r="R10">
        <f>HadGEM3!K10</f>
        <v>0</v>
      </c>
      <c r="S10">
        <f>HadGEM3!L10</f>
        <v>0</v>
      </c>
      <c r="T10" s="1">
        <f t="shared" si="4"/>
        <v>-13.127955137503987</v>
      </c>
      <c r="U10">
        <f>SUM(ECHAM6!G10:H10)+OsloCTM2!Q10</f>
        <v>-3.1444418276955872</v>
      </c>
      <c r="V10" s="1">
        <f t="shared" si="5"/>
        <v>-3.1444418276955872</v>
      </c>
      <c r="W10" s="5" t="s">
        <v>76</v>
      </c>
      <c r="X10">
        <f t="shared" si="6"/>
        <v>-10.138249697298773</v>
      </c>
      <c r="Y10">
        <f t="shared" si="7"/>
        <v>0</v>
      </c>
      <c r="Z10">
        <f t="shared" si="7"/>
        <v>0</v>
      </c>
      <c r="AA10">
        <f t="shared" si="8"/>
        <v>0</v>
      </c>
      <c r="AB10">
        <f t="shared" si="8"/>
        <v>0</v>
      </c>
      <c r="AC10">
        <f t="shared" si="8"/>
        <v>0</v>
      </c>
      <c r="AD10" s="1">
        <f t="shared" si="0"/>
        <v>-10.138249697298773</v>
      </c>
      <c r="AE10">
        <f t="shared" si="1"/>
        <v>-13.127955137503987</v>
      </c>
      <c r="AF10">
        <f t="shared" si="9"/>
        <v>0</v>
      </c>
      <c r="AG10">
        <f t="shared" si="9"/>
        <v>0</v>
      </c>
      <c r="AH10">
        <f t="shared" si="10"/>
        <v>0</v>
      </c>
      <c r="AI10">
        <f t="shared" si="10"/>
        <v>0</v>
      </c>
      <c r="AJ10">
        <f t="shared" si="10"/>
        <v>0</v>
      </c>
      <c r="AK10" s="1">
        <f t="shared" si="11"/>
        <v>-13.127955137503987</v>
      </c>
      <c r="AL10">
        <f t="shared" si="12"/>
        <v>-8.0357242718446606</v>
      </c>
      <c r="AM10">
        <f t="shared" si="13"/>
        <v>0</v>
      </c>
      <c r="AN10">
        <f t="shared" si="14"/>
        <v>0</v>
      </c>
      <c r="AO10">
        <f t="shared" si="15"/>
        <v>0</v>
      </c>
      <c r="AP10">
        <f t="shared" si="15"/>
        <v>0</v>
      </c>
      <c r="AQ10">
        <f t="shared" si="15"/>
        <v>0</v>
      </c>
      <c r="AR10" s="1">
        <f t="shared" si="16"/>
        <v>-8.0357242718446606</v>
      </c>
    </row>
    <row r="11" spans="1:44" x14ac:dyDescent="0.25">
      <c r="A11" t="s">
        <v>2</v>
      </c>
      <c r="B11" t="s">
        <v>2</v>
      </c>
      <c r="C11" t="s">
        <v>32</v>
      </c>
      <c r="D11">
        <f>SUM(OsloCTM2!P11:U11)</f>
        <v>-9.2397126908396938</v>
      </c>
      <c r="E11">
        <f>OsloCTM2!I11</f>
        <v>0</v>
      </c>
      <c r="G11">
        <f>SUM(OsloCTM2!W11:X11)</f>
        <v>0</v>
      </c>
      <c r="H11">
        <f>OsloCTM2!Y11</f>
        <v>0</v>
      </c>
      <c r="I11">
        <f>OsloCTM2!Z11</f>
        <v>0</v>
      </c>
      <c r="J11" s="1">
        <f t="shared" si="2"/>
        <v>-9.2397126908396938</v>
      </c>
      <c r="K11">
        <f>SUM(NorESM!K11:L11)</f>
        <v>0</v>
      </c>
      <c r="L11">
        <f>SUM(NorESM!M11:N11)</f>
        <v>0</v>
      </c>
      <c r="M11">
        <f>NorESM!O11</f>
        <v>0</v>
      </c>
      <c r="N11">
        <f>NorESM!P11</f>
        <v>0</v>
      </c>
      <c r="O11" s="1">
        <f t="shared" si="3"/>
        <v>0</v>
      </c>
      <c r="P11">
        <f>HadGEM3!I11</f>
        <v>0</v>
      </c>
      <c r="Q11">
        <f>HadGEM3!J11</f>
        <v>0</v>
      </c>
      <c r="R11">
        <f>HadGEM3!K11</f>
        <v>0</v>
      </c>
      <c r="S11">
        <f>HadGEM3!L11</f>
        <v>0</v>
      </c>
      <c r="T11" s="1">
        <f t="shared" si="4"/>
        <v>0</v>
      </c>
      <c r="U11">
        <f>SUM(ECHAM6!G11:H11)</f>
        <v>0</v>
      </c>
      <c r="V11" s="1">
        <f t="shared" si="5"/>
        <v>0</v>
      </c>
    </row>
    <row r="12" spans="1:44" x14ac:dyDescent="0.25">
      <c r="A12" t="s">
        <v>2</v>
      </c>
      <c r="B12" t="s">
        <v>2</v>
      </c>
      <c r="C12" t="s">
        <v>33</v>
      </c>
      <c r="D12">
        <f>SUM(OsloCTM2!P12:U12)</f>
        <v>-9.0758232783705139</v>
      </c>
      <c r="E12">
        <f>OsloCTM2!I12</f>
        <v>0</v>
      </c>
      <c r="G12">
        <f>SUM(OsloCTM2!W12:X12)</f>
        <v>0</v>
      </c>
      <c r="H12">
        <f>OsloCTM2!Y12</f>
        <v>0</v>
      </c>
      <c r="I12">
        <f>OsloCTM2!Z12</f>
        <v>0</v>
      </c>
      <c r="J12" s="1">
        <f t="shared" si="2"/>
        <v>-9.0758232783705139</v>
      </c>
      <c r="K12">
        <f>SUM(NorESM!K12:L12)</f>
        <v>0</v>
      </c>
      <c r="L12">
        <f>SUM(NorESM!M12:N12)</f>
        <v>0</v>
      </c>
      <c r="M12">
        <f>NorESM!O12</f>
        <v>0</v>
      </c>
      <c r="N12">
        <f>NorESM!P12</f>
        <v>0</v>
      </c>
      <c r="O12" s="1">
        <f t="shared" si="3"/>
        <v>0</v>
      </c>
      <c r="P12">
        <f>HadGEM3!I12</f>
        <v>0</v>
      </c>
      <c r="Q12">
        <f>HadGEM3!J12</f>
        <v>0</v>
      </c>
      <c r="R12">
        <f>HadGEM3!K12</f>
        <v>0</v>
      </c>
      <c r="S12">
        <f>HadGEM3!L12</f>
        <v>0</v>
      </c>
      <c r="T12" s="1">
        <f t="shared" si="4"/>
        <v>0</v>
      </c>
      <c r="U12">
        <f>SUM(ECHAM6!G12:H12)</f>
        <v>0</v>
      </c>
      <c r="V12" s="1">
        <f t="shared" si="5"/>
        <v>0</v>
      </c>
    </row>
    <row r="13" spans="1:44" x14ac:dyDescent="0.25">
      <c r="A13" t="s">
        <v>2</v>
      </c>
      <c r="B13" t="s">
        <v>2</v>
      </c>
      <c r="C13" t="s">
        <v>28</v>
      </c>
      <c r="D13">
        <f>SUM(OsloCTM2!P13:U13)</f>
        <v>-6.2965085663471996</v>
      </c>
      <c r="E13">
        <f>OsloCTM2!I13</f>
        <v>0</v>
      </c>
      <c r="G13">
        <f>SUM(OsloCTM2!W13:X13)</f>
        <v>0</v>
      </c>
      <c r="H13">
        <f>OsloCTM2!Y13</f>
        <v>0</v>
      </c>
      <c r="I13">
        <f>OsloCTM2!Z13</f>
        <v>0</v>
      </c>
      <c r="J13" s="1">
        <f t="shared" ref="J13:J14" si="17">SUM(D13:I13)</f>
        <v>-6.2965085663471996</v>
      </c>
      <c r="K13">
        <f>SUM(NorESM!K13:L13)+OsloCTM2!Q13</f>
        <v>-8.5175674201435658</v>
      </c>
      <c r="L13">
        <f>SUM(NorESM!M13:N13)</f>
        <v>0</v>
      </c>
      <c r="M13">
        <f>NorESM!O13</f>
        <v>0</v>
      </c>
      <c r="N13">
        <f>NorESM!P13</f>
        <v>0</v>
      </c>
      <c r="O13" s="1">
        <f t="shared" ref="O13:O14" si="18">SUM(K13:N13)</f>
        <v>-8.5175674201435658</v>
      </c>
      <c r="P13">
        <f>HadGEM3!I13+OsloCTM2!Q13</f>
        <v>-11.806946368599915</v>
      </c>
      <c r="Q13">
        <f>HadGEM3!J13</f>
        <v>0</v>
      </c>
      <c r="R13">
        <f>HadGEM3!K13</f>
        <v>0</v>
      </c>
      <c r="S13">
        <f>HadGEM3!L13</f>
        <v>0</v>
      </c>
      <c r="T13" s="1">
        <f t="shared" ref="T13:T14" si="19">SUM(P13:S13)</f>
        <v>-11.806946368599915</v>
      </c>
      <c r="U13">
        <f>SUM(ECHAM6!G13:H13)+OsloCTM2!Q13</f>
        <v>-2.4033126022510221</v>
      </c>
      <c r="V13" s="1">
        <f t="shared" ref="V13:V14" si="20">SUM(U13)</f>
        <v>-2.4033126022510221</v>
      </c>
      <c r="W13" s="5" t="s">
        <v>76</v>
      </c>
      <c r="X13">
        <f t="shared" ref="X13:X14" si="21">AVERAGE(D13,K13,P13)</f>
        <v>-8.8736741183635601</v>
      </c>
      <c r="Y13">
        <f t="shared" ref="Y13:Y14" si="22">E13</f>
        <v>0</v>
      </c>
      <c r="Z13">
        <f t="shared" ref="Z13:Z14" si="23">F13</f>
        <v>0</v>
      </c>
      <c r="AA13">
        <f t="shared" ref="AA13:AA14" si="24">AVERAGE(G13,L13,Q13)</f>
        <v>0</v>
      </c>
      <c r="AB13">
        <f t="shared" ref="AB13:AB14" si="25">AVERAGE(H13,M13,R13)</f>
        <v>0</v>
      </c>
      <c r="AC13">
        <f t="shared" ref="AC13:AC14" si="26">AVERAGE(I13,N13,S13)</f>
        <v>0</v>
      </c>
      <c r="AD13" s="1">
        <f t="shared" ref="AD13:AD14" si="27">SUM(X13:AC13)</f>
        <v>-8.8736741183635601</v>
      </c>
      <c r="AE13">
        <f t="shared" ref="AE13:AE14" si="28">MIN(D13,K13,P13)</f>
        <v>-11.806946368599915</v>
      </c>
      <c r="AF13">
        <f t="shared" ref="AF13:AF14" si="29">Y13</f>
        <v>0</v>
      </c>
      <c r="AG13">
        <f t="shared" ref="AG13:AG14" si="30">Z13</f>
        <v>0</v>
      </c>
      <c r="AH13">
        <f t="shared" ref="AH13:AH14" si="31">MIN(G13,L13,Q13)</f>
        <v>0</v>
      </c>
      <c r="AI13">
        <f t="shared" ref="AI13:AI14" si="32">MIN(H13,M13,R13)</f>
        <v>0</v>
      </c>
      <c r="AJ13">
        <f t="shared" ref="AJ13:AJ14" si="33">MIN(I13,N13,S13)</f>
        <v>0</v>
      </c>
      <c r="AK13" s="1">
        <f t="shared" ref="AK13:AK14" si="34">SUM(AE13:AJ13)</f>
        <v>-11.806946368599915</v>
      </c>
      <c r="AL13">
        <f t="shared" ref="AL13:AL14" si="35">MAX(D13,K13,P13)</f>
        <v>-6.2965085663471996</v>
      </c>
      <c r="AM13">
        <f t="shared" ref="AM13:AM14" si="36">AF13</f>
        <v>0</v>
      </c>
      <c r="AN13">
        <f t="shared" ref="AN13:AN14" si="37">Z13</f>
        <v>0</v>
      </c>
      <c r="AO13">
        <f t="shared" ref="AO13:AO14" si="38">MAX(G13,L13,Q13)</f>
        <v>0</v>
      </c>
      <c r="AP13">
        <f t="shared" ref="AP13:AP14" si="39">MAX(H13,M13,R13)</f>
        <v>0</v>
      </c>
      <c r="AQ13">
        <f t="shared" ref="AQ13:AQ14" si="40">MAX(I13,N13,S13)</f>
        <v>0</v>
      </c>
      <c r="AR13" s="1">
        <f t="shared" ref="AR13:AR14" si="41">SUM(AL13:AQ13)</f>
        <v>-6.2965085663471996</v>
      </c>
    </row>
    <row r="14" spans="1:44" x14ac:dyDescent="0.25">
      <c r="A14" t="s">
        <v>2</v>
      </c>
      <c r="B14" t="s">
        <v>2</v>
      </c>
      <c r="C14" t="s">
        <v>29</v>
      </c>
      <c r="D14">
        <f>SUM(OsloCTM2!P14:U14)</f>
        <v>-5.8213311773818734</v>
      </c>
      <c r="E14">
        <f>OsloCTM2!I14</f>
        <v>0</v>
      </c>
      <c r="G14">
        <f>SUM(OsloCTM2!W14:X14)</f>
        <v>0</v>
      </c>
      <c r="H14">
        <f>OsloCTM2!Y14</f>
        <v>0</v>
      </c>
      <c r="I14">
        <f>OsloCTM2!Z14</f>
        <v>0</v>
      </c>
      <c r="J14" s="1">
        <f t="shared" si="17"/>
        <v>-5.8213311773818734</v>
      </c>
      <c r="K14">
        <f>SUM(NorESM!K14:L14)+OsloCTM2!Q14</f>
        <v>-6.052072330831006</v>
      </c>
      <c r="L14">
        <f>SUM(NorESM!M14:N14)</f>
        <v>0</v>
      </c>
      <c r="M14">
        <f>NorESM!O14</f>
        <v>0</v>
      </c>
      <c r="N14">
        <f>NorESM!P14</f>
        <v>0</v>
      </c>
      <c r="O14" s="1">
        <f t="shared" si="18"/>
        <v>-6.052072330831006</v>
      </c>
      <c r="P14">
        <f>HadGEM3!I14+OsloCTM2!Q14</f>
        <v>-7.7943798685208812</v>
      </c>
      <c r="Q14">
        <f>HadGEM3!J14</f>
        <v>0</v>
      </c>
      <c r="R14">
        <f>HadGEM3!K14</f>
        <v>0</v>
      </c>
      <c r="S14">
        <f>HadGEM3!L14</f>
        <v>0</v>
      </c>
      <c r="T14" s="1">
        <f t="shared" si="19"/>
        <v>-7.7943798685208812</v>
      </c>
      <c r="U14">
        <f>SUM(ECHAM6!G14:H14)+OsloCTM2!Q14</f>
        <v>-2.373389860423524</v>
      </c>
      <c r="V14" s="1">
        <f t="shared" si="20"/>
        <v>-2.373389860423524</v>
      </c>
      <c r="W14" s="5" t="s">
        <v>76</v>
      </c>
      <c r="X14">
        <f t="shared" si="21"/>
        <v>-6.555927792244586</v>
      </c>
      <c r="Y14">
        <f t="shared" si="22"/>
        <v>0</v>
      </c>
      <c r="Z14">
        <f t="shared" si="23"/>
        <v>0</v>
      </c>
      <c r="AA14">
        <f t="shared" si="24"/>
        <v>0</v>
      </c>
      <c r="AB14">
        <f t="shared" si="25"/>
        <v>0</v>
      </c>
      <c r="AC14">
        <f t="shared" si="26"/>
        <v>0</v>
      </c>
      <c r="AD14" s="1">
        <f t="shared" si="27"/>
        <v>-6.555927792244586</v>
      </c>
      <c r="AE14">
        <f t="shared" si="28"/>
        <v>-7.7943798685208812</v>
      </c>
      <c r="AF14">
        <f t="shared" si="29"/>
        <v>0</v>
      </c>
      <c r="AG14">
        <f t="shared" si="30"/>
        <v>0</v>
      </c>
      <c r="AH14">
        <f t="shared" si="31"/>
        <v>0</v>
      </c>
      <c r="AI14">
        <f t="shared" si="32"/>
        <v>0</v>
      </c>
      <c r="AJ14">
        <f t="shared" si="33"/>
        <v>0</v>
      </c>
      <c r="AK14" s="1">
        <f t="shared" si="34"/>
        <v>-7.7943798685208812</v>
      </c>
      <c r="AL14">
        <f t="shared" si="35"/>
        <v>-5.8213311773818734</v>
      </c>
      <c r="AM14">
        <f t="shared" si="36"/>
        <v>0</v>
      </c>
      <c r="AN14">
        <f t="shared" si="37"/>
        <v>0</v>
      </c>
      <c r="AO14">
        <f t="shared" si="38"/>
        <v>0</v>
      </c>
      <c r="AP14">
        <f t="shared" si="39"/>
        <v>0</v>
      </c>
      <c r="AQ14">
        <f t="shared" si="40"/>
        <v>0</v>
      </c>
      <c r="AR14" s="1">
        <f t="shared" si="41"/>
        <v>-5.8213311773818734</v>
      </c>
    </row>
    <row r="15" spans="1:44" x14ac:dyDescent="0.25">
      <c r="A15" t="s">
        <v>30</v>
      </c>
      <c r="B15" t="s">
        <v>127</v>
      </c>
      <c r="C15" t="s">
        <v>24</v>
      </c>
      <c r="D15">
        <f>SUM(OsloCTM2!P15:U15)</f>
        <v>-1.0247982599795293</v>
      </c>
      <c r="E15">
        <f>OsloCTM2!I15</f>
        <v>0</v>
      </c>
      <c r="G15">
        <f>SUM(OsloCTM2!W15:X15)</f>
        <v>0.1797222108495394</v>
      </c>
      <c r="H15">
        <f>OsloCTM2!Y15</f>
        <v>-0.85977482088024559</v>
      </c>
      <c r="I15">
        <f>OsloCTM2!Z15</f>
        <v>-0.39510359687747643</v>
      </c>
      <c r="J15" s="1">
        <f t="shared" si="2"/>
        <v>-2.0999544668877119</v>
      </c>
      <c r="K15">
        <f>SUM(NorESM!K15:L15)+OsloCTM2!Q15</f>
        <v>-0.40114502722075285</v>
      </c>
      <c r="L15">
        <f>SUM(NorESM!M15:N15)</f>
        <v>0.13701087698721912</v>
      </c>
      <c r="M15">
        <f>NorESM!O15</f>
        <v>-0.88732999686704206</v>
      </c>
      <c r="N15">
        <f>NorESM!P15</f>
        <v>-0.35094795906811932</v>
      </c>
      <c r="O15" s="1">
        <f t="shared" si="3"/>
        <v>-1.502412106168695</v>
      </c>
      <c r="P15">
        <f>HadGEM3!I15+OsloCTM2!Q15</f>
        <v>0.34270948571940058</v>
      </c>
      <c r="Q15">
        <f>HadGEM3!J15</f>
        <v>0.2356040598232686</v>
      </c>
      <c r="R15">
        <f>HadGEM3!K15</f>
        <v>-0.58712804343701719</v>
      </c>
      <c r="S15">
        <f>HadGEM3!L15</f>
        <v>-0.26616654393377748</v>
      </c>
      <c r="T15" s="1">
        <f t="shared" si="4"/>
        <v>-0.27498104182812555</v>
      </c>
      <c r="U15">
        <f>SUM(ECHAM6!G15:H15)</f>
        <v>0</v>
      </c>
      <c r="V15" s="1">
        <f t="shared" si="5"/>
        <v>0</v>
      </c>
      <c r="W15" s="5" t="s">
        <v>76</v>
      </c>
      <c r="X15">
        <f t="shared" ref="X15:X20" si="42">AVERAGE(D15,K15,P15)</f>
        <v>-0.36107793382696052</v>
      </c>
      <c r="Y15">
        <f t="shared" ref="Y15:Z20" si="43">E15</f>
        <v>0</v>
      </c>
      <c r="Z15">
        <f t="shared" si="43"/>
        <v>0</v>
      </c>
      <c r="AA15">
        <f>AVERAGE(G15,L15,Q15)</f>
        <v>0.18411238255334239</v>
      </c>
      <c r="AB15">
        <f>AVERAGE(H15,M15,R15)</f>
        <v>-0.77807762039476824</v>
      </c>
      <c r="AC15">
        <f>AVERAGE(I15,N15,S15)</f>
        <v>-0.33740603329312441</v>
      </c>
      <c r="AD15" s="1">
        <f>SUM(X15:AC15)</f>
        <v>-1.2924492049615108</v>
      </c>
      <c r="AE15">
        <f t="shared" ref="AE15:AE20" si="44">MIN(D15,K15,P15)</f>
        <v>-1.0247982599795293</v>
      </c>
      <c r="AF15">
        <f t="shared" ref="AF15:AG20" si="45">Y15</f>
        <v>0</v>
      </c>
      <c r="AG15">
        <f t="shared" si="45"/>
        <v>0</v>
      </c>
      <c r="AH15">
        <f>MIN(G15,L15,Q15)</f>
        <v>0.13701087698721912</v>
      </c>
      <c r="AI15">
        <f>MIN(H15,M15,R15)</f>
        <v>-0.88732999686704206</v>
      </c>
      <c r="AJ15">
        <f>MIN(I15,N15,S15)</f>
        <v>-0.39510359687747643</v>
      </c>
      <c r="AK15" s="1">
        <f t="shared" ref="AK15:AK20" si="46">SUM(AE15:AJ15)</f>
        <v>-2.1702209767368288</v>
      </c>
      <c r="AL15">
        <f t="shared" ref="AL15:AL20" si="47">MAX(D15,K15,P15)</f>
        <v>0.34270948571940058</v>
      </c>
      <c r="AM15">
        <f t="shared" ref="AM15:AM20" si="48">AF15</f>
        <v>0</v>
      </c>
      <c r="AN15">
        <f t="shared" ref="AN15:AN20" si="49">Z15</f>
        <v>0</v>
      </c>
      <c r="AO15">
        <f>MAX(G15,L15,Q15)</f>
        <v>0.2356040598232686</v>
      </c>
      <c r="AP15">
        <f>MAX(H15,M15,R15)</f>
        <v>-0.58712804343701719</v>
      </c>
      <c r="AQ15">
        <f>MAX(I15,N15,S15)</f>
        <v>-0.26616654393377748</v>
      </c>
      <c r="AR15" s="1">
        <f t="shared" ref="AR15:AR20" si="50">SUM(AL15:AQ15)</f>
        <v>-0.27498104182812555</v>
      </c>
    </row>
    <row r="16" spans="1:44" x14ac:dyDescent="0.25">
      <c r="A16" t="s">
        <v>30</v>
      </c>
      <c r="B16" t="s">
        <v>127</v>
      </c>
      <c r="C16" t="s">
        <v>25</v>
      </c>
      <c r="D16">
        <f>SUM(OsloCTM2!P16:U16)</f>
        <v>-2.9403887269193397E-2</v>
      </c>
      <c r="E16">
        <f>OsloCTM2!I16</f>
        <v>0</v>
      </c>
      <c r="G16">
        <f>SUM(OsloCTM2!W16:X16)</f>
        <v>3.0514091350826049E-2</v>
      </c>
      <c r="H16">
        <f>OsloCTM2!Y16</f>
        <v>-0.40816326530612246</v>
      </c>
      <c r="I16">
        <f>OsloCTM2!Z16</f>
        <v>-0.18756861717652792</v>
      </c>
      <c r="J16" s="1">
        <f t="shared" si="2"/>
        <v>-0.59462167840101776</v>
      </c>
      <c r="K16">
        <f>SUM(NorESM!K16:L16)+OsloCTM2!Q16</f>
        <v>-5.7818364488652609E-2</v>
      </c>
      <c r="L16">
        <f>SUM(NorESM!M16:N16)</f>
        <v>3.9173831070889904E-3</v>
      </c>
      <c r="M16">
        <f>NorESM!O16</f>
        <v>-0.30297888386123684</v>
      </c>
      <c r="N16">
        <f>NorESM!P16</f>
        <v>-0.11440116618635106</v>
      </c>
      <c r="O16" s="1">
        <f t="shared" si="3"/>
        <v>-0.47128103142915151</v>
      </c>
      <c r="P16">
        <f>HadGEM3!I16+OsloCTM2!Q16</f>
        <v>-0.1513615375017813</v>
      </c>
      <c r="Q16">
        <f>HadGEM3!J16</f>
        <v>6.4706319982672067E-2</v>
      </c>
      <c r="R16">
        <f>HadGEM3!K16</f>
        <v>-0.21383958511870566</v>
      </c>
      <c r="S16">
        <f>HadGEM3!L16</f>
        <v>-9.6941278761085714E-2</v>
      </c>
      <c r="T16" s="1">
        <f t="shared" si="4"/>
        <v>-0.39743608139890063</v>
      </c>
      <c r="U16">
        <f>SUM(ECHAM6!G16:H16)</f>
        <v>0</v>
      </c>
      <c r="V16" s="1">
        <f t="shared" si="5"/>
        <v>0</v>
      </c>
      <c r="W16" s="5" t="s">
        <v>76</v>
      </c>
      <c r="X16">
        <f t="shared" si="42"/>
        <v>-7.9527929753209103E-2</v>
      </c>
      <c r="Y16">
        <f t="shared" si="43"/>
        <v>0</v>
      </c>
      <c r="Z16">
        <f t="shared" si="43"/>
        <v>0</v>
      </c>
      <c r="AA16">
        <f t="shared" ref="AA16:AC20" si="51">AVERAGE(G16,L16,Q16)</f>
        <v>3.3045931480195703E-2</v>
      </c>
      <c r="AB16">
        <f t="shared" si="51"/>
        <v>-0.30832724476202161</v>
      </c>
      <c r="AC16">
        <f t="shared" si="51"/>
        <v>-0.13297035404132157</v>
      </c>
      <c r="AD16" s="1">
        <f>SUM(X16:AC16)</f>
        <v>-0.4877795970763566</v>
      </c>
      <c r="AE16">
        <f t="shared" si="44"/>
        <v>-0.1513615375017813</v>
      </c>
      <c r="AF16">
        <f t="shared" si="45"/>
        <v>0</v>
      </c>
      <c r="AG16">
        <f t="shared" si="45"/>
        <v>0</v>
      </c>
      <c r="AH16">
        <f t="shared" ref="AH16:AJ20" si="52">MIN(G16,L16,Q16)</f>
        <v>3.9173831070889904E-3</v>
      </c>
      <c r="AI16">
        <f t="shared" si="52"/>
        <v>-0.40816326530612246</v>
      </c>
      <c r="AJ16">
        <f t="shared" si="52"/>
        <v>-0.18756861717652792</v>
      </c>
      <c r="AK16" s="1">
        <f t="shared" si="46"/>
        <v>-0.74317603687734268</v>
      </c>
      <c r="AL16">
        <f t="shared" si="47"/>
        <v>-2.9403887269193397E-2</v>
      </c>
      <c r="AM16">
        <f t="shared" si="48"/>
        <v>0</v>
      </c>
      <c r="AN16">
        <f t="shared" si="49"/>
        <v>0</v>
      </c>
      <c r="AO16">
        <f t="shared" ref="AO16:AQ20" si="53">MAX(G16,L16,Q16)</f>
        <v>6.4706319982672067E-2</v>
      </c>
      <c r="AP16">
        <f t="shared" si="53"/>
        <v>-0.21383958511870566</v>
      </c>
      <c r="AQ16">
        <f t="shared" si="53"/>
        <v>-9.6941278761085714E-2</v>
      </c>
      <c r="AR16" s="1">
        <f t="shared" si="50"/>
        <v>-0.27547843116631271</v>
      </c>
    </row>
    <row r="17" spans="1:44" x14ac:dyDescent="0.25">
      <c r="A17" t="s">
        <v>30</v>
      </c>
      <c r="B17" t="s">
        <v>127</v>
      </c>
      <c r="C17" t="s">
        <v>26</v>
      </c>
      <c r="D17">
        <f>SUM(OsloCTM2!P17:U17)</f>
        <v>-2.4692140385565994E-2</v>
      </c>
      <c r="E17">
        <f>OsloCTM2!I17</f>
        <v>0</v>
      </c>
      <c r="G17">
        <f>SUM(OsloCTM2!W17:X17)</f>
        <v>0.77573999011369243</v>
      </c>
      <c r="H17">
        <f>OsloCTM2!Y17</f>
        <v>-0.87988136431042996</v>
      </c>
      <c r="I17">
        <f>OsloCTM2!Z17</f>
        <v>-0.40434342041860516</v>
      </c>
      <c r="J17" s="1">
        <f t="shared" si="2"/>
        <v>-0.53317693500090868</v>
      </c>
      <c r="K17">
        <f>SUM(NorESM!K17:L17)+OsloCTM2!Q17</f>
        <v>-3.3449718733411855E-2</v>
      </c>
      <c r="L17">
        <f>SUM(NorESM!M17:N17)</f>
        <v>0.89824424707267259</v>
      </c>
      <c r="M17">
        <f>NorESM!O17</f>
        <v>-0.88105947125442174</v>
      </c>
      <c r="N17">
        <f>NorESM!P17</f>
        <v>-0.34846790297421587</v>
      </c>
      <c r="O17" s="1">
        <f t="shared" si="3"/>
        <v>-0.36473284588937688</v>
      </c>
      <c r="P17">
        <f>HadGEM3!I17+OsloCTM2!Q17</f>
        <v>-0.83902264921671166</v>
      </c>
      <c r="Q17">
        <f>HadGEM3!J17</f>
        <v>0.97900130564383014</v>
      </c>
      <c r="R17">
        <f>HadGEM3!K17</f>
        <v>-0.62250060084250969</v>
      </c>
      <c r="S17">
        <f>HadGEM3!L17</f>
        <v>-0.28220221359725367</v>
      </c>
      <c r="T17" s="1">
        <f t="shared" si="4"/>
        <v>-0.76472415801264493</v>
      </c>
      <c r="U17">
        <f>SUM(ECHAM6!G17:H17)</f>
        <v>0</v>
      </c>
      <c r="V17" s="1">
        <f t="shared" si="5"/>
        <v>0</v>
      </c>
      <c r="W17" s="5" t="s">
        <v>76</v>
      </c>
      <c r="X17">
        <f t="shared" si="42"/>
        <v>-0.29905483611189648</v>
      </c>
      <c r="Y17">
        <f t="shared" si="43"/>
        <v>0</v>
      </c>
      <c r="Z17">
        <f t="shared" si="43"/>
        <v>0</v>
      </c>
      <c r="AA17">
        <f t="shared" si="51"/>
        <v>0.88432851427673176</v>
      </c>
      <c r="AB17">
        <f t="shared" si="51"/>
        <v>-0.79448047880245376</v>
      </c>
      <c r="AC17">
        <f t="shared" si="51"/>
        <v>-0.34500451233002494</v>
      </c>
      <c r="AD17" s="1">
        <f t="shared" ref="AD17:AD20" si="54">SUM(X17:AC17)</f>
        <v>-0.55421131296764337</v>
      </c>
      <c r="AE17">
        <f t="shared" si="44"/>
        <v>-0.83902264921671166</v>
      </c>
      <c r="AF17">
        <f t="shared" si="45"/>
        <v>0</v>
      </c>
      <c r="AG17">
        <f t="shared" si="45"/>
        <v>0</v>
      </c>
      <c r="AH17">
        <f t="shared" si="52"/>
        <v>0.77573999011369243</v>
      </c>
      <c r="AI17">
        <f t="shared" si="52"/>
        <v>-0.88105947125442174</v>
      </c>
      <c r="AJ17">
        <f t="shared" si="52"/>
        <v>-0.40434342041860516</v>
      </c>
      <c r="AK17" s="1">
        <f t="shared" si="46"/>
        <v>-1.3486855507760462</v>
      </c>
      <c r="AL17">
        <f t="shared" si="47"/>
        <v>-2.4692140385565994E-2</v>
      </c>
      <c r="AM17">
        <f t="shared" si="48"/>
        <v>0</v>
      </c>
      <c r="AN17">
        <f t="shared" si="49"/>
        <v>0</v>
      </c>
      <c r="AO17">
        <f t="shared" si="53"/>
        <v>0.97900130564383014</v>
      </c>
      <c r="AP17">
        <f t="shared" si="53"/>
        <v>-0.62250060084250969</v>
      </c>
      <c r="AQ17">
        <f t="shared" si="53"/>
        <v>-0.28220221359725367</v>
      </c>
      <c r="AR17" s="1">
        <f t="shared" si="50"/>
        <v>4.9606350818500788E-2</v>
      </c>
    </row>
    <row r="18" spans="1:44" x14ac:dyDescent="0.25">
      <c r="A18" t="s">
        <v>30</v>
      </c>
      <c r="B18" t="s">
        <v>127</v>
      </c>
      <c r="C18" t="s">
        <v>27</v>
      </c>
      <c r="D18">
        <f>SUM(OsloCTM2!P18:U18)</f>
        <v>-0.40529726487523993</v>
      </c>
      <c r="E18">
        <f>OsloCTM2!I18</f>
        <v>0</v>
      </c>
      <c r="G18">
        <f>SUM(OsloCTM2!W18:X18)</f>
        <v>0.19132101727447215</v>
      </c>
      <c r="H18">
        <f>OsloCTM2!Y18</f>
        <v>-0.56621880998080609</v>
      </c>
      <c r="I18">
        <f>OsloCTM2!Z18</f>
        <v>-0.2602019540582256</v>
      </c>
      <c r="J18" s="1">
        <f t="shared" si="2"/>
        <v>-1.0403970116397996</v>
      </c>
      <c r="K18">
        <f>SUM(NorESM!K18:L18)+OsloCTM2!Q18</f>
        <v>-0.27033740650652249</v>
      </c>
      <c r="L18">
        <f>SUM(NorESM!M18:N18)</f>
        <v>0.18409328805338868</v>
      </c>
      <c r="M18">
        <f>NorESM!O18</f>
        <v>-0.45532394579668545</v>
      </c>
      <c r="N18">
        <f>NorESM!P18</f>
        <v>-0.17192482105640258</v>
      </c>
      <c r="O18" s="1">
        <f t="shared" si="3"/>
        <v>-0.7134928853062219</v>
      </c>
      <c r="P18">
        <f>HadGEM3!I18+OsloCTM2!Q18</f>
        <v>-0.45907356407906053</v>
      </c>
      <c r="Q18">
        <f>HadGEM3!J18</f>
        <v>0.20408512674259338</v>
      </c>
      <c r="R18">
        <f>HadGEM3!K18</f>
        <v>-0.30942383717657651</v>
      </c>
      <c r="S18">
        <f>HadGEM3!L18</f>
        <v>-0.14027310443203531</v>
      </c>
      <c r="T18" s="1">
        <f t="shared" si="4"/>
        <v>-0.70468537894507899</v>
      </c>
      <c r="U18">
        <f>SUM(ECHAM6!G18:H18)</f>
        <v>0</v>
      </c>
      <c r="V18" s="1">
        <f t="shared" si="5"/>
        <v>0</v>
      </c>
      <c r="W18" s="5" t="s">
        <v>76</v>
      </c>
      <c r="X18">
        <f t="shared" si="42"/>
        <v>-0.37823607848694102</v>
      </c>
      <c r="Y18">
        <f t="shared" si="43"/>
        <v>0</v>
      </c>
      <c r="Z18">
        <f t="shared" si="43"/>
        <v>0</v>
      </c>
      <c r="AA18">
        <f t="shared" si="51"/>
        <v>0.19316647735681805</v>
      </c>
      <c r="AB18">
        <f t="shared" si="51"/>
        <v>-0.44365553098468929</v>
      </c>
      <c r="AC18">
        <f t="shared" si="51"/>
        <v>-0.19079995984888784</v>
      </c>
      <c r="AD18" s="1">
        <f t="shared" si="54"/>
        <v>-0.81952509196370016</v>
      </c>
      <c r="AE18">
        <f t="shared" si="44"/>
        <v>-0.45907356407906053</v>
      </c>
      <c r="AF18">
        <f t="shared" si="45"/>
        <v>0</v>
      </c>
      <c r="AG18">
        <f t="shared" si="45"/>
        <v>0</v>
      </c>
      <c r="AH18">
        <f t="shared" si="52"/>
        <v>0.18409328805338868</v>
      </c>
      <c r="AI18">
        <f t="shared" si="52"/>
        <v>-0.56621880998080609</v>
      </c>
      <c r="AJ18">
        <f t="shared" si="52"/>
        <v>-0.2602019540582256</v>
      </c>
      <c r="AK18" s="1">
        <f t="shared" si="46"/>
        <v>-1.1014010400647036</v>
      </c>
      <c r="AL18">
        <f t="shared" si="47"/>
        <v>-0.27033740650652249</v>
      </c>
      <c r="AM18">
        <f t="shared" si="48"/>
        <v>0</v>
      </c>
      <c r="AN18">
        <f t="shared" si="49"/>
        <v>0</v>
      </c>
      <c r="AO18">
        <f t="shared" si="53"/>
        <v>0.20408512674259338</v>
      </c>
      <c r="AP18">
        <f t="shared" si="53"/>
        <v>-0.30942383717657651</v>
      </c>
      <c r="AQ18">
        <f t="shared" si="53"/>
        <v>-0.14027310443203531</v>
      </c>
      <c r="AR18" s="1">
        <f t="shared" si="50"/>
        <v>-0.51594922137254096</v>
      </c>
    </row>
    <row r="19" spans="1:44" x14ac:dyDescent="0.25">
      <c r="A19" t="s">
        <v>30</v>
      </c>
      <c r="B19" t="s">
        <v>127</v>
      </c>
      <c r="C19" t="s">
        <v>134</v>
      </c>
      <c r="D19">
        <f>SUM(OsloCTM2!P19:U19)</f>
        <v>-0.18806858581091709</v>
      </c>
      <c r="E19">
        <f>OsloCTM2!I19</f>
        <v>0</v>
      </c>
      <c r="G19">
        <f>SUM(OsloCTM2!W19:X19)</f>
        <v>1.4707943998741544</v>
      </c>
      <c r="H19">
        <f>OsloCTM2!Y19</f>
        <v>-1.7948717948717949</v>
      </c>
      <c r="I19">
        <f>OsloCTM2!Z19</f>
        <v>-0.82482097040447522</v>
      </c>
      <c r="J19" s="1">
        <f t="shared" si="2"/>
        <v>-1.3369669512130327</v>
      </c>
      <c r="K19">
        <f>SUM(NorESM!K19:L19)+OsloCTM2!Q19</f>
        <v>0.39482291503571021</v>
      </c>
      <c r="L19">
        <f>SUM(NorESM!M19:N19)</f>
        <v>2.0652012042502723</v>
      </c>
      <c r="M19">
        <f>NorESM!O19</f>
        <v>-2.0975954855602534</v>
      </c>
      <c r="N19">
        <f>NorESM!P19</f>
        <v>-0.82962016071476985</v>
      </c>
      <c r="O19" s="1">
        <f t="shared" si="3"/>
        <v>-0.46719152698904065</v>
      </c>
      <c r="P19">
        <f>HadGEM3!I19+OsloCTM2!Q19</f>
        <v>-1.1611804553656857</v>
      </c>
      <c r="Q19">
        <f>HadGEM3!J19</f>
        <v>2.0462759692515697</v>
      </c>
      <c r="R19">
        <f>HadGEM3!K19</f>
        <v>-1.5750608124777852</v>
      </c>
      <c r="S19">
        <f>HadGEM3!L19</f>
        <v>-0.7140324800167912</v>
      </c>
      <c r="T19" s="1">
        <f t="shared" si="4"/>
        <v>-1.4039977786086923</v>
      </c>
      <c r="U19">
        <f>SUM(ECHAM6!G19:H19)</f>
        <v>0</v>
      </c>
      <c r="V19" s="1">
        <f t="shared" si="5"/>
        <v>0</v>
      </c>
      <c r="W19" s="5" t="s">
        <v>76</v>
      </c>
      <c r="X19">
        <f t="shared" si="42"/>
        <v>-0.31814204204696422</v>
      </c>
      <c r="Y19">
        <f t="shared" si="43"/>
        <v>0</v>
      </c>
      <c r="Z19">
        <f t="shared" si="43"/>
        <v>0</v>
      </c>
      <c r="AA19">
        <f t="shared" si="51"/>
        <v>1.860757191125332</v>
      </c>
      <c r="AB19">
        <f t="shared" si="51"/>
        <v>-1.8225093643032777</v>
      </c>
      <c r="AC19">
        <f t="shared" si="51"/>
        <v>-0.78949120371201209</v>
      </c>
      <c r="AD19" s="1">
        <f t="shared" si="54"/>
        <v>-1.0693854189369221</v>
      </c>
      <c r="AE19">
        <f t="shared" si="44"/>
        <v>-1.1611804553656857</v>
      </c>
      <c r="AF19">
        <f t="shared" si="45"/>
        <v>0</v>
      </c>
      <c r="AG19">
        <f t="shared" si="45"/>
        <v>0</v>
      </c>
      <c r="AH19">
        <f t="shared" si="52"/>
        <v>1.4707943998741544</v>
      </c>
      <c r="AI19">
        <f t="shared" si="52"/>
        <v>-2.0975954855602534</v>
      </c>
      <c r="AJ19">
        <f t="shared" si="52"/>
        <v>-0.82962016071476985</v>
      </c>
      <c r="AK19" s="1">
        <f t="shared" si="46"/>
        <v>-2.6176017017665547</v>
      </c>
      <c r="AL19">
        <f t="shared" si="47"/>
        <v>0.39482291503571021</v>
      </c>
      <c r="AM19">
        <f t="shared" si="48"/>
        <v>0</v>
      </c>
      <c r="AN19">
        <f t="shared" si="49"/>
        <v>0</v>
      </c>
      <c r="AO19">
        <f t="shared" si="53"/>
        <v>2.0652012042502723</v>
      </c>
      <c r="AP19">
        <f t="shared" si="53"/>
        <v>-1.5750608124777852</v>
      </c>
      <c r="AQ19">
        <f t="shared" si="53"/>
        <v>-0.7140324800167912</v>
      </c>
      <c r="AR19" s="1">
        <f t="shared" si="50"/>
        <v>0.17093082679140625</v>
      </c>
    </row>
    <row r="20" spans="1:44" x14ac:dyDescent="0.25">
      <c r="A20" t="s">
        <v>30</v>
      </c>
      <c r="B20" t="s">
        <v>127</v>
      </c>
      <c r="C20" t="s">
        <v>135</v>
      </c>
      <c r="D20">
        <f>SUM(OsloCTM2!P20:U20)</f>
        <v>-0.39025447972335736</v>
      </c>
      <c r="E20">
        <f>OsloCTM2!I20</f>
        <v>0</v>
      </c>
      <c r="G20">
        <f>SUM(OsloCTM2!W20:X20)</f>
        <v>1.1209273813266267</v>
      </c>
      <c r="H20">
        <f>OsloCTM2!Y20</f>
        <v>-1.8484753222257151</v>
      </c>
      <c r="I20">
        <f>OsloCTM2!Z20</f>
        <v>-0.84945410218329498</v>
      </c>
      <c r="J20" s="1">
        <f t="shared" si="2"/>
        <v>-1.9672565228057408</v>
      </c>
      <c r="K20">
        <f>SUM(NorESM!K20:L20)+OsloCTM2!Q20</f>
        <v>0.49978613171152092</v>
      </c>
      <c r="L20">
        <f>SUM(NorESM!M20:N20)</f>
        <v>1.8653506458294957</v>
      </c>
      <c r="M20">
        <f>NorESM!O20</f>
        <v>-2.1759390738377316</v>
      </c>
      <c r="N20">
        <f>NorESM!P20</f>
        <v>-0.82160830624583758</v>
      </c>
      <c r="O20" s="1">
        <f t="shared" si="3"/>
        <v>-0.63241060254255255</v>
      </c>
      <c r="P20">
        <f>HadGEM3!I20+OsloCTM2!Q20</f>
        <v>-1.4924260579967286</v>
      </c>
      <c r="Q20">
        <f>HadGEM3!J20</f>
        <v>1.7220812068919125</v>
      </c>
      <c r="R20">
        <f>HadGEM3!K20</f>
        <v>-1.6156578910783637</v>
      </c>
      <c r="S20">
        <f>HadGEM3!L20</f>
        <v>-0.73243661558093243</v>
      </c>
      <c r="T20" s="1">
        <f t="shared" si="4"/>
        <v>-2.1184393577641121</v>
      </c>
      <c r="U20">
        <f>SUM(ECHAM6!G20:H20)</f>
        <v>0</v>
      </c>
      <c r="V20" s="1">
        <f t="shared" si="5"/>
        <v>0</v>
      </c>
      <c r="W20" s="5" t="s">
        <v>76</v>
      </c>
      <c r="X20">
        <f t="shared" si="42"/>
        <v>-0.460964802002855</v>
      </c>
      <c r="Y20">
        <f t="shared" si="43"/>
        <v>0</v>
      </c>
      <c r="Z20">
        <f t="shared" si="43"/>
        <v>0</v>
      </c>
      <c r="AA20">
        <f t="shared" si="51"/>
        <v>1.5694530780160116</v>
      </c>
      <c r="AB20">
        <f t="shared" si="51"/>
        <v>-1.8800240957139369</v>
      </c>
      <c r="AC20">
        <f t="shared" si="51"/>
        <v>-0.8011663413366884</v>
      </c>
      <c r="AD20" s="1">
        <f t="shared" si="54"/>
        <v>-1.5727021610374687</v>
      </c>
      <c r="AE20">
        <f t="shared" si="44"/>
        <v>-1.4924260579967286</v>
      </c>
      <c r="AF20">
        <f t="shared" si="45"/>
        <v>0</v>
      </c>
      <c r="AG20">
        <f t="shared" si="45"/>
        <v>0</v>
      </c>
      <c r="AH20">
        <f t="shared" si="52"/>
        <v>1.1209273813266267</v>
      </c>
      <c r="AI20">
        <f t="shared" si="52"/>
        <v>-2.1759390738377316</v>
      </c>
      <c r="AJ20">
        <f t="shared" si="52"/>
        <v>-0.84945410218329498</v>
      </c>
      <c r="AK20" s="1">
        <f t="shared" si="46"/>
        <v>-3.396891852691128</v>
      </c>
      <c r="AL20">
        <f t="shared" si="47"/>
        <v>0.49978613171152092</v>
      </c>
      <c r="AM20">
        <f t="shared" si="48"/>
        <v>0</v>
      </c>
      <c r="AN20">
        <f t="shared" si="49"/>
        <v>0</v>
      </c>
      <c r="AO20">
        <f t="shared" si="53"/>
        <v>1.8653506458294957</v>
      </c>
      <c r="AP20">
        <f t="shared" si="53"/>
        <v>-1.6156578910783637</v>
      </c>
      <c r="AQ20">
        <f t="shared" si="53"/>
        <v>-0.73243661558093243</v>
      </c>
      <c r="AR20" s="1">
        <f t="shared" si="50"/>
        <v>1.70422708817205E-2</v>
      </c>
    </row>
    <row r="21" spans="1:44" x14ac:dyDescent="0.25">
      <c r="A21" t="s">
        <v>30</v>
      </c>
      <c r="B21" t="s">
        <v>127</v>
      </c>
      <c r="C21" t="s">
        <v>32</v>
      </c>
      <c r="D21">
        <f>SUM(OsloCTM2!P21:U21)</f>
        <v>0.12044147492625369</v>
      </c>
      <c r="E21">
        <f>OsloCTM2!I21</f>
        <v>0</v>
      </c>
      <c r="G21">
        <f>SUM(OsloCTM2!W21:X21)</f>
        <v>2.166910324483776</v>
      </c>
      <c r="H21">
        <f>OsloCTM2!Y21</f>
        <v>-3.3805309734513274</v>
      </c>
      <c r="I21">
        <f>OsloCTM2!Z21</f>
        <v>-1.5534997240310839</v>
      </c>
      <c r="J21" s="1">
        <f t="shared" si="2"/>
        <v>-2.6466788980723814</v>
      </c>
      <c r="K21">
        <f>SUM(NorESM!K21:L21)</f>
        <v>0</v>
      </c>
      <c r="L21">
        <f>SUM(NorESM!M21:N21)</f>
        <v>0</v>
      </c>
      <c r="M21">
        <f>NorESM!O21</f>
        <v>0</v>
      </c>
      <c r="N21">
        <f>NorESM!P21</f>
        <v>0</v>
      </c>
      <c r="O21" s="1">
        <f t="shared" si="3"/>
        <v>0</v>
      </c>
      <c r="P21">
        <f>HadGEM3!I21</f>
        <v>0</v>
      </c>
      <c r="Q21">
        <f>HadGEM3!J21</f>
        <v>0</v>
      </c>
      <c r="R21">
        <f>HadGEM3!K21</f>
        <v>0</v>
      </c>
      <c r="S21">
        <f>HadGEM3!L21</f>
        <v>0</v>
      </c>
      <c r="T21" s="1">
        <f t="shared" si="4"/>
        <v>0</v>
      </c>
      <c r="U21">
        <f>SUM(ECHAM6!G21:H21)</f>
        <v>0</v>
      </c>
      <c r="V21" s="1">
        <f t="shared" si="5"/>
        <v>0</v>
      </c>
    </row>
    <row r="22" spans="1:44" x14ac:dyDescent="0.25">
      <c r="A22" t="s">
        <v>30</v>
      </c>
      <c r="B22" t="s">
        <v>127</v>
      </c>
      <c r="C22" t="s">
        <v>33</v>
      </c>
      <c r="D22">
        <f>SUM(OsloCTM2!P22:U22)</f>
        <v>0.25620665866826631</v>
      </c>
      <c r="E22">
        <f>OsloCTM2!I22</f>
        <v>0</v>
      </c>
      <c r="G22">
        <f>SUM(OsloCTM2!W22:X22)</f>
        <v>1.9430317936412718</v>
      </c>
      <c r="H22">
        <f>OsloCTM2!Y22</f>
        <v>-4.1751649670065989</v>
      </c>
      <c r="I22">
        <f>OsloCTM2!Z22</f>
        <v>-1.9186683023960132</v>
      </c>
      <c r="J22" s="1">
        <f t="shared" si="2"/>
        <v>-3.8945948170930738</v>
      </c>
      <c r="K22">
        <f>SUM(NorESM!K22:L22)</f>
        <v>0</v>
      </c>
      <c r="L22">
        <f>SUM(NorESM!M22:N22)</f>
        <v>0</v>
      </c>
      <c r="M22">
        <f>NorESM!O22</f>
        <v>0</v>
      </c>
      <c r="N22">
        <f>NorESM!P22</f>
        <v>0</v>
      </c>
      <c r="O22" s="1">
        <f t="shared" si="3"/>
        <v>0</v>
      </c>
      <c r="P22">
        <f>HadGEM3!I22</f>
        <v>0</v>
      </c>
      <c r="Q22">
        <f>HadGEM3!J22</f>
        <v>0</v>
      </c>
      <c r="R22">
        <f>HadGEM3!K22</f>
        <v>0</v>
      </c>
      <c r="S22">
        <f>HadGEM3!L22</f>
        <v>0</v>
      </c>
      <c r="T22" s="1">
        <f t="shared" si="4"/>
        <v>0</v>
      </c>
      <c r="U22">
        <f>SUM(ECHAM6!G22:H22)</f>
        <v>0</v>
      </c>
      <c r="V22" s="1">
        <f t="shared" si="5"/>
        <v>0</v>
      </c>
    </row>
    <row r="23" spans="1:44" x14ac:dyDescent="0.25">
      <c r="A23" t="s">
        <v>30</v>
      </c>
      <c r="B23" t="s">
        <v>127</v>
      </c>
      <c r="C23" t="s">
        <v>28</v>
      </c>
      <c r="D23">
        <f>SUM(OsloCTM2!P23:U23)</f>
        <v>-0.18481576185305826</v>
      </c>
      <c r="E23">
        <f>OsloCTM2!I23</f>
        <v>0</v>
      </c>
      <c r="G23">
        <f>SUM(OsloCTM2!W23:X23)</f>
        <v>1.3361982989504164</v>
      </c>
      <c r="H23">
        <f>OsloCTM2!Y23</f>
        <v>-1.7879116901918206</v>
      </c>
      <c r="I23">
        <f>OsloCTM2!Z23</f>
        <v>-0.82162250223941991</v>
      </c>
      <c r="J23" s="1">
        <f t="shared" ref="J23:J24" si="55">SUM(D23:I23)</f>
        <v>-1.4581516553338825</v>
      </c>
      <c r="K23">
        <f>SUM(NorESM!K23:L23)+OsloCTM2!Q23</f>
        <v>0.22451211853896974</v>
      </c>
      <c r="L23">
        <f>SUM(NorESM!M23:N23)</f>
        <v>1.6046390127557237</v>
      </c>
      <c r="M23">
        <f>NorESM!O23</f>
        <v>-1.7032280793027201</v>
      </c>
      <c r="N23">
        <f>NorESM!P23</f>
        <v>-0.67364387586275731</v>
      </c>
      <c r="O23" s="1">
        <f t="shared" ref="O23:O24" si="56">SUM(K23:N23)</f>
        <v>-0.54772082387078391</v>
      </c>
      <c r="P23">
        <f>HadGEM3!I23+OsloCTM2!Q23</f>
        <v>-0.93944160053055326</v>
      </c>
      <c r="Q23">
        <f>HadGEM3!J23</f>
        <v>1.6570692087342203</v>
      </c>
      <c r="R23">
        <f>HadGEM3!K23</f>
        <v>-1.2890327777364385</v>
      </c>
      <c r="S23">
        <f>HadGEM3!L23</f>
        <v>-0.58436554564655196</v>
      </c>
      <c r="T23" s="1">
        <f t="shared" ref="T23:T24" si="57">SUM(P23:S23)</f>
        <v>-1.1557707151793235</v>
      </c>
      <c r="U23">
        <f>SUM(ECHAM6!G23:H23)</f>
        <v>0</v>
      </c>
      <c r="V23" s="1">
        <f t="shared" ref="V23:V24" si="58">SUM(U23)</f>
        <v>0</v>
      </c>
      <c r="W23" s="5" t="s">
        <v>76</v>
      </c>
      <c r="X23">
        <f t="shared" ref="X23:X24" si="59">AVERAGE(D23,K23,P23)</f>
        <v>-0.29991508128154726</v>
      </c>
      <c r="Y23">
        <f t="shared" ref="Y23:Y24" si="60">E23</f>
        <v>0</v>
      </c>
      <c r="Z23">
        <f t="shared" ref="Z23:Z24" si="61">F23</f>
        <v>0</v>
      </c>
      <c r="AA23">
        <f t="shared" ref="AA23:AA24" si="62">AVERAGE(G23,L23,Q23)</f>
        <v>1.5326355068134534</v>
      </c>
      <c r="AB23">
        <f t="shared" ref="AB23:AB24" si="63">AVERAGE(H23,M23,R23)</f>
        <v>-1.593390849076993</v>
      </c>
      <c r="AC23">
        <f t="shared" ref="AC23:AC24" si="64">AVERAGE(I23,N23,S23)</f>
        <v>-0.69321064124957632</v>
      </c>
      <c r="AD23" s="1">
        <f t="shared" ref="AD23:AD24" si="65">SUM(X23:AC23)</f>
        <v>-1.053881064794663</v>
      </c>
      <c r="AE23">
        <f t="shared" ref="AE23:AE24" si="66">MIN(D23,K23,P23)</f>
        <v>-0.93944160053055326</v>
      </c>
      <c r="AF23">
        <f t="shared" ref="AF23:AF24" si="67">Y23</f>
        <v>0</v>
      </c>
      <c r="AG23">
        <f t="shared" ref="AG23:AG24" si="68">Z23</f>
        <v>0</v>
      </c>
      <c r="AH23">
        <f t="shared" ref="AH23:AH24" si="69">MIN(G23,L23,Q23)</f>
        <v>1.3361982989504164</v>
      </c>
      <c r="AI23">
        <f t="shared" ref="AI23:AI24" si="70">MIN(H23,M23,R23)</f>
        <v>-1.7879116901918206</v>
      </c>
      <c r="AJ23">
        <f t="shared" ref="AJ23:AJ24" si="71">MIN(I23,N23,S23)</f>
        <v>-0.82162250223941991</v>
      </c>
      <c r="AK23" s="1">
        <f t="shared" ref="AK23:AK24" si="72">SUM(AE23:AJ23)</f>
        <v>-2.2127774940113776</v>
      </c>
      <c r="AL23">
        <f t="shared" ref="AL23:AL24" si="73">MAX(D23,K23,P23)</f>
        <v>0.22451211853896974</v>
      </c>
      <c r="AM23">
        <f t="shared" ref="AM23:AM24" si="74">AF23</f>
        <v>0</v>
      </c>
      <c r="AN23">
        <f t="shared" ref="AN23:AN24" si="75">Z23</f>
        <v>0</v>
      </c>
      <c r="AO23">
        <f t="shared" ref="AO23:AO24" si="76">MAX(G23,L23,Q23)</f>
        <v>1.6570692087342203</v>
      </c>
      <c r="AP23">
        <f t="shared" ref="AP23:AP24" si="77">MAX(H23,M23,R23)</f>
        <v>-1.2890327777364385</v>
      </c>
      <c r="AQ23">
        <f t="shared" ref="AQ23:AQ24" si="78">MAX(I23,N23,S23)</f>
        <v>-0.58436554564655196</v>
      </c>
      <c r="AR23" s="1">
        <f t="shared" ref="AR23:AR24" si="79">SUM(AL23:AQ23)</f>
        <v>8.1830038901995472E-3</v>
      </c>
    </row>
    <row r="24" spans="1:44" x14ac:dyDescent="0.25">
      <c r="A24" t="s">
        <v>30</v>
      </c>
      <c r="B24" t="s">
        <v>127</v>
      </c>
      <c r="C24" t="s">
        <v>29</v>
      </c>
      <c r="D24">
        <f>SUM(OsloCTM2!P24:U24)</f>
        <v>-0.26302267097469034</v>
      </c>
      <c r="E24">
        <f>OsloCTM2!I24</f>
        <v>0</v>
      </c>
      <c r="G24">
        <f>SUM(OsloCTM2!W24:X24)</f>
        <v>0.96934894991922471</v>
      </c>
      <c r="H24">
        <f>OsloCTM2!Y24</f>
        <v>-1.823730030515168</v>
      </c>
      <c r="I24">
        <f>OsloCTM2!Z24</f>
        <v>-0.83808257382124085</v>
      </c>
      <c r="J24" s="1">
        <f t="shared" si="55"/>
        <v>-1.9554863253918744</v>
      </c>
      <c r="K24">
        <f>SUM(NorESM!K24:L24)+OsloCTM2!Q24</f>
        <v>0.29705859280879504</v>
      </c>
      <c r="L24">
        <f>SUM(NorESM!M24:N24)</f>
        <v>1.2866188128727949</v>
      </c>
      <c r="M24">
        <f>NorESM!O24</f>
        <v>-1.5872209040859619</v>
      </c>
      <c r="N24">
        <f>NorESM!P24</f>
        <v>-0.59931543779120733</v>
      </c>
      <c r="O24" s="1">
        <f t="shared" si="56"/>
        <v>-0.6028589361955794</v>
      </c>
      <c r="P24">
        <f>HadGEM3!I24+OsloCTM2!Q24</f>
        <v>-1.0950546950709306</v>
      </c>
      <c r="Q24">
        <f>HadGEM3!J24</f>
        <v>1.2165732298729273</v>
      </c>
      <c r="R24">
        <f>HadGEM3!K24</f>
        <v>-1.1832850916897442</v>
      </c>
      <c r="S24">
        <f>HadGEM3!L24</f>
        <v>-0.53642626487352896</v>
      </c>
      <c r="T24" s="1">
        <f t="shared" si="57"/>
        <v>-1.5981928217612764</v>
      </c>
      <c r="U24">
        <f>SUM(ECHAM6!G24:H24)</f>
        <v>0</v>
      </c>
      <c r="V24" s="1">
        <f t="shared" si="58"/>
        <v>0</v>
      </c>
      <c r="W24" s="5" t="s">
        <v>76</v>
      </c>
      <c r="X24">
        <f t="shared" si="59"/>
        <v>-0.35367292441227532</v>
      </c>
      <c r="Y24">
        <f t="shared" si="60"/>
        <v>0</v>
      </c>
      <c r="Z24">
        <f t="shared" si="61"/>
        <v>0</v>
      </c>
      <c r="AA24">
        <f t="shared" si="62"/>
        <v>1.157513664221649</v>
      </c>
      <c r="AB24">
        <f t="shared" si="63"/>
        <v>-1.5314120087636247</v>
      </c>
      <c r="AC24">
        <f t="shared" si="64"/>
        <v>-0.65794142549532575</v>
      </c>
      <c r="AD24" s="1">
        <f t="shared" si="65"/>
        <v>-1.3855126944495768</v>
      </c>
      <c r="AE24">
        <f t="shared" si="66"/>
        <v>-1.0950546950709306</v>
      </c>
      <c r="AF24">
        <f t="shared" si="67"/>
        <v>0</v>
      </c>
      <c r="AG24">
        <f t="shared" si="68"/>
        <v>0</v>
      </c>
      <c r="AH24">
        <f t="shared" si="69"/>
        <v>0.96934894991922471</v>
      </c>
      <c r="AI24">
        <f t="shared" si="70"/>
        <v>-1.823730030515168</v>
      </c>
      <c r="AJ24">
        <f t="shared" si="71"/>
        <v>-0.83808257382124085</v>
      </c>
      <c r="AK24" s="1">
        <f t="shared" si="72"/>
        <v>-2.7875183494881148</v>
      </c>
      <c r="AL24">
        <f t="shared" si="73"/>
        <v>0.29705859280879504</v>
      </c>
      <c r="AM24">
        <f t="shared" si="74"/>
        <v>0</v>
      </c>
      <c r="AN24">
        <f t="shared" si="75"/>
        <v>0</v>
      </c>
      <c r="AO24">
        <f t="shared" si="76"/>
        <v>1.2866188128727949</v>
      </c>
      <c r="AP24">
        <f t="shared" si="77"/>
        <v>-1.1832850916897442</v>
      </c>
      <c r="AQ24">
        <f t="shared" si="78"/>
        <v>-0.53642626487352896</v>
      </c>
      <c r="AR24" s="1">
        <f t="shared" si="79"/>
        <v>-0.13603395088168324</v>
      </c>
    </row>
    <row r="25" spans="1:44" x14ac:dyDescent="0.25">
      <c r="A25" t="s">
        <v>34</v>
      </c>
      <c r="B25" t="s">
        <v>34</v>
      </c>
      <c r="C25" t="s">
        <v>24</v>
      </c>
      <c r="D25">
        <f>SUM(OsloCTM2!P25:U25)</f>
        <v>-1.5206083603066444E-3</v>
      </c>
      <c r="E25">
        <f>OsloCTM2!I25</f>
        <v>0</v>
      </c>
      <c r="G25">
        <f>SUM(OsloCTM2!W25:X25)</f>
        <v>3.7247998296422488E-2</v>
      </c>
      <c r="H25">
        <f>OsloCTM2!Y25</f>
        <v>0.12350936967632027</v>
      </c>
      <c r="I25">
        <f>OsloCTM2!Z25</f>
        <v>5.6757880112403361E-2</v>
      </c>
      <c r="J25" s="1">
        <f t="shared" si="2"/>
        <v>0.21599463972483945</v>
      </c>
      <c r="K25">
        <f>SUM(NorESM!K25:L25)+OsloCTM2!Q25</f>
        <v>3.4654140477188802E-2</v>
      </c>
      <c r="L25">
        <f>SUM(NorESM!M25:N25)</f>
        <v>2.4094068583893711E-2</v>
      </c>
      <c r="M25">
        <f>NorESM!O25</f>
        <v>9.4843958826701685E-2</v>
      </c>
      <c r="N25">
        <f>NorESM!P25</f>
        <v>3.7511741852179467E-2</v>
      </c>
      <c r="O25" s="1">
        <f t="shared" si="3"/>
        <v>0.19110390973996366</v>
      </c>
      <c r="P25">
        <f>HadGEM3!I25+OsloCTM2!Q25</f>
        <v>3.0019431619923317E-2</v>
      </c>
      <c r="Q25">
        <f>HadGEM3!J25</f>
        <v>2.322750017474395E-2</v>
      </c>
      <c r="R25">
        <f>HadGEM3!K25</f>
        <v>6.5244874307705578E-2</v>
      </c>
      <c r="S25">
        <f>HadGEM3!L25</f>
        <v>2.9577879813432222E-2</v>
      </c>
      <c r="T25" s="1">
        <f t="shared" si="4"/>
        <v>0.14806968591580505</v>
      </c>
      <c r="U25">
        <f>SUM(ECHAM6!G25:H25)</f>
        <v>0</v>
      </c>
      <c r="V25" s="1">
        <f t="shared" si="5"/>
        <v>0</v>
      </c>
      <c r="W25" s="5" t="s">
        <v>76</v>
      </c>
      <c r="X25">
        <f t="shared" ref="X25:X30" si="80">AVERAGE(D25,K25,P25)</f>
        <v>2.105098791226849E-2</v>
      </c>
      <c r="Y25">
        <f t="shared" ref="Y25:Z30" si="81">E25</f>
        <v>0</v>
      </c>
      <c r="Z25">
        <f t="shared" si="81"/>
        <v>0</v>
      </c>
      <c r="AA25">
        <f t="shared" ref="AA25:AC30" si="82">AVERAGE(G25,L25,Q25)</f>
        <v>2.8189855685020051E-2</v>
      </c>
      <c r="AB25">
        <f t="shared" si="82"/>
        <v>9.4532734270242516E-2</v>
      </c>
      <c r="AC25">
        <f t="shared" si="82"/>
        <v>4.1282500592671682E-2</v>
      </c>
      <c r="AD25" s="1">
        <f t="shared" ref="AD25:AD30" si="83">SUM(X25:AC25)</f>
        <v>0.18505607846020275</v>
      </c>
      <c r="AE25">
        <f t="shared" ref="AE25:AE30" si="84">MIN(D25,K25,P25)</f>
        <v>-1.5206083603066444E-3</v>
      </c>
      <c r="AF25">
        <f t="shared" ref="AF25:AG30" si="85">Y25</f>
        <v>0</v>
      </c>
      <c r="AG25">
        <f t="shared" si="85"/>
        <v>0</v>
      </c>
      <c r="AH25">
        <f t="shared" ref="AH25:AJ30" si="86">MIN(G25,L25,Q25)</f>
        <v>2.322750017474395E-2</v>
      </c>
      <c r="AI25">
        <f t="shared" si="86"/>
        <v>6.5244874307705578E-2</v>
      </c>
      <c r="AJ25">
        <f t="shared" si="86"/>
        <v>2.9577879813432222E-2</v>
      </c>
      <c r="AK25" s="1">
        <f t="shared" ref="AK25:AK30" si="87">SUM(AE25:AJ25)</f>
        <v>0.1165296459355751</v>
      </c>
      <c r="AL25">
        <f t="shared" ref="AL25:AL30" si="88">MAX(D25,K25,P25)</f>
        <v>3.4654140477188802E-2</v>
      </c>
      <c r="AM25">
        <f t="shared" ref="AM25:AM30" si="89">AF25</f>
        <v>0</v>
      </c>
      <c r="AN25">
        <f t="shared" ref="AN25:AN30" si="90">Z25</f>
        <v>0</v>
      </c>
      <c r="AO25">
        <f t="shared" ref="AO25:AQ30" si="91">MAX(G25,L25,Q25)</f>
        <v>3.7247998296422488E-2</v>
      </c>
      <c r="AP25">
        <f t="shared" si="91"/>
        <v>0.12350936967632027</v>
      </c>
      <c r="AQ25">
        <f t="shared" si="91"/>
        <v>5.6757880112403361E-2</v>
      </c>
      <c r="AR25" s="1">
        <f t="shared" ref="AR25:AR30" si="92">SUM(AL25:AQ25)</f>
        <v>0.2521693885623349</v>
      </c>
    </row>
    <row r="26" spans="1:44" x14ac:dyDescent="0.25">
      <c r="A26" t="s">
        <v>34</v>
      </c>
      <c r="B26" t="s">
        <v>34</v>
      </c>
      <c r="C26" t="s">
        <v>25</v>
      </c>
      <c r="D26">
        <f>SUM(OsloCTM2!P26:U26)</f>
        <v>-1.1258062520246193E-2</v>
      </c>
      <c r="E26">
        <f>OsloCTM2!I26</f>
        <v>0</v>
      </c>
      <c r="G26">
        <f>SUM(OsloCTM2!W26:X26)</f>
        <v>3.3054097829608033E-2</v>
      </c>
      <c r="H26">
        <f>OsloCTM2!Y26</f>
        <v>0.14901198574667962</v>
      </c>
      <c r="I26">
        <f>OsloCTM2!Z26</f>
        <v>6.8477431667621297E-2</v>
      </c>
      <c r="J26" s="1">
        <f t="shared" si="2"/>
        <v>0.23928545272366275</v>
      </c>
      <c r="K26">
        <f>SUM(NorESM!K26:L26)+OsloCTM2!Q26</f>
        <v>2.2331441453632698E-2</v>
      </c>
      <c r="L26">
        <f>SUM(NorESM!M26:N26)</f>
        <v>2.7717102477954229E-2</v>
      </c>
      <c r="M26">
        <f>NorESM!O26</f>
        <v>0.11234241757845825</v>
      </c>
      <c r="N26">
        <f>NorESM!P26</f>
        <v>4.2419139642272445E-2</v>
      </c>
      <c r="O26" s="1">
        <f t="shared" si="3"/>
        <v>0.20481010115231763</v>
      </c>
      <c r="P26">
        <f>HadGEM3!I26+OsloCTM2!Q26</f>
        <v>6.9623215452759582E-2</v>
      </c>
      <c r="Q26">
        <f>HadGEM3!J26</f>
        <v>3.0588519994468679E-2</v>
      </c>
      <c r="R26">
        <f>HadGEM3!K26</f>
        <v>7.9691350365192912E-2</v>
      </c>
      <c r="S26">
        <f>HadGEM3!L26</f>
        <v>3.6126994009603217E-2</v>
      </c>
      <c r="T26" s="1">
        <f t="shared" si="4"/>
        <v>0.21603007982202438</v>
      </c>
      <c r="U26">
        <f>SUM(ECHAM6!G26:H26)</f>
        <v>0</v>
      </c>
      <c r="V26" s="1">
        <f t="shared" si="5"/>
        <v>0</v>
      </c>
      <c r="W26" s="5" t="s">
        <v>76</v>
      </c>
      <c r="X26">
        <f t="shared" si="80"/>
        <v>2.6898864795382029E-2</v>
      </c>
      <c r="Y26">
        <f t="shared" si="81"/>
        <v>0</v>
      </c>
      <c r="Z26">
        <f t="shared" si="81"/>
        <v>0</v>
      </c>
      <c r="AA26">
        <f t="shared" si="82"/>
        <v>3.0453240100676984E-2</v>
      </c>
      <c r="AB26">
        <f t="shared" si="82"/>
        <v>0.11368191789677694</v>
      </c>
      <c r="AC26">
        <f t="shared" si="82"/>
        <v>4.9007855106498986E-2</v>
      </c>
      <c r="AD26" s="1">
        <f t="shared" si="83"/>
        <v>0.22004187789933494</v>
      </c>
      <c r="AE26">
        <f t="shared" si="84"/>
        <v>-1.1258062520246193E-2</v>
      </c>
      <c r="AF26">
        <f t="shared" si="85"/>
        <v>0</v>
      </c>
      <c r="AG26">
        <f t="shared" si="85"/>
        <v>0</v>
      </c>
      <c r="AH26">
        <f t="shared" si="86"/>
        <v>2.7717102477954229E-2</v>
      </c>
      <c r="AI26">
        <f t="shared" si="86"/>
        <v>7.9691350365192912E-2</v>
      </c>
      <c r="AJ26">
        <f t="shared" si="86"/>
        <v>3.6126994009603217E-2</v>
      </c>
      <c r="AK26" s="1">
        <f t="shared" si="87"/>
        <v>0.13227738433250416</v>
      </c>
      <c r="AL26">
        <f t="shared" si="88"/>
        <v>6.9623215452759582E-2</v>
      </c>
      <c r="AM26">
        <f t="shared" si="89"/>
        <v>0</v>
      </c>
      <c r="AN26">
        <f t="shared" si="90"/>
        <v>0</v>
      </c>
      <c r="AO26">
        <f t="shared" si="91"/>
        <v>3.3054097829608033E-2</v>
      </c>
      <c r="AP26">
        <f t="shared" si="91"/>
        <v>0.14901198574667962</v>
      </c>
      <c r="AQ26">
        <f t="shared" si="91"/>
        <v>6.8477431667621297E-2</v>
      </c>
      <c r="AR26" s="1">
        <f t="shared" si="92"/>
        <v>0.32016673069666857</v>
      </c>
    </row>
    <row r="27" spans="1:44" x14ac:dyDescent="0.25">
      <c r="A27" t="s">
        <v>34</v>
      </c>
      <c r="B27" t="s">
        <v>34</v>
      </c>
      <c r="C27" t="s">
        <v>26</v>
      </c>
      <c r="D27">
        <f>SUM(OsloCTM2!P27:U27)</f>
        <v>-2.545548580786026E-3</v>
      </c>
      <c r="E27">
        <f>OsloCTM2!I27</f>
        <v>0</v>
      </c>
      <c r="G27">
        <f>SUM(OsloCTM2!W27:X27)</f>
        <v>6.8707111665626958E-2</v>
      </c>
      <c r="H27">
        <f>OsloCTM2!Y27</f>
        <v>0.12242669993761697</v>
      </c>
      <c r="I27">
        <f>OsloCTM2!Z27</f>
        <v>5.6260346691322106E-2</v>
      </c>
      <c r="J27" s="1">
        <f t="shared" si="2"/>
        <v>0.24484860971378</v>
      </c>
      <c r="K27">
        <f>SUM(NorESM!K27:L27)+OsloCTM2!Q27</f>
        <v>2.0631482614314561E-2</v>
      </c>
      <c r="L27">
        <f>SUM(NorESM!M27:N27)</f>
        <v>5.3817073767895587E-2</v>
      </c>
      <c r="M27">
        <f>NorESM!O27</f>
        <v>8.7588180128269896E-2</v>
      </c>
      <c r="N27">
        <f>NorESM!P27</f>
        <v>3.4642008230352947E-2</v>
      </c>
      <c r="O27" s="1">
        <f t="shared" si="3"/>
        <v>0.19667874474083302</v>
      </c>
      <c r="P27">
        <f>HadGEM3!I27+OsloCTM2!Q27</f>
        <v>7.2369942925524247E-2</v>
      </c>
      <c r="Q27">
        <f>HadGEM3!J27</f>
        <v>5.5074205270711815E-2</v>
      </c>
      <c r="R27">
        <f>HadGEM3!K27</f>
        <v>5.7354598589183736E-2</v>
      </c>
      <c r="S27">
        <f>HadGEM3!L27</f>
        <v>2.6000930215880173E-2</v>
      </c>
      <c r="T27" s="1">
        <f t="shared" si="4"/>
        <v>0.21079967700129998</v>
      </c>
      <c r="U27">
        <f>SUM(ECHAM6!G27:H27)</f>
        <v>0</v>
      </c>
      <c r="V27" s="1">
        <f t="shared" si="5"/>
        <v>0</v>
      </c>
      <c r="W27" s="5" t="s">
        <v>76</v>
      </c>
      <c r="X27">
        <f t="shared" si="80"/>
        <v>3.0151958986350928E-2</v>
      </c>
      <c r="Y27">
        <f t="shared" si="81"/>
        <v>0</v>
      </c>
      <c r="Z27">
        <f t="shared" si="81"/>
        <v>0</v>
      </c>
      <c r="AA27">
        <f t="shared" si="82"/>
        <v>5.919946356807812E-2</v>
      </c>
      <c r="AB27">
        <f t="shared" si="82"/>
        <v>8.9123159551690201E-2</v>
      </c>
      <c r="AC27">
        <f t="shared" si="82"/>
        <v>3.8967761712518416E-2</v>
      </c>
      <c r="AD27" s="1">
        <f t="shared" si="83"/>
        <v>0.21744234381863767</v>
      </c>
      <c r="AE27">
        <f t="shared" si="84"/>
        <v>-2.545548580786026E-3</v>
      </c>
      <c r="AF27">
        <f t="shared" si="85"/>
        <v>0</v>
      </c>
      <c r="AG27">
        <f t="shared" si="85"/>
        <v>0</v>
      </c>
      <c r="AH27">
        <f t="shared" si="86"/>
        <v>5.3817073767895587E-2</v>
      </c>
      <c r="AI27">
        <f t="shared" si="86"/>
        <v>5.7354598589183736E-2</v>
      </c>
      <c r="AJ27">
        <f t="shared" si="86"/>
        <v>2.6000930215880173E-2</v>
      </c>
      <c r="AK27" s="1">
        <f t="shared" si="87"/>
        <v>0.13462705399217348</v>
      </c>
      <c r="AL27">
        <f t="shared" si="88"/>
        <v>7.2369942925524247E-2</v>
      </c>
      <c r="AM27">
        <f t="shared" si="89"/>
        <v>0</v>
      </c>
      <c r="AN27">
        <f t="shared" si="90"/>
        <v>0</v>
      </c>
      <c r="AO27">
        <f t="shared" si="91"/>
        <v>6.8707111665626958E-2</v>
      </c>
      <c r="AP27">
        <f t="shared" si="91"/>
        <v>0.12242669993761697</v>
      </c>
      <c r="AQ27">
        <f t="shared" si="91"/>
        <v>5.6260346691322106E-2</v>
      </c>
      <c r="AR27" s="1">
        <f t="shared" si="92"/>
        <v>0.3197641012200903</v>
      </c>
    </row>
    <row r="28" spans="1:44" x14ac:dyDescent="0.25">
      <c r="A28" t="s">
        <v>34</v>
      </c>
      <c r="B28" t="s">
        <v>34</v>
      </c>
      <c r="C28" t="s">
        <v>27</v>
      </c>
      <c r="D28">
        <f>SUM(OsloCTM2!P28:U28)</f>
        <v>-9.7090359602142306E-3</v>
      </c>
      <c r="E28">
        <f>OsloCTM2!I28</f>
        <v>0</v>
      </c>
      <c r="G28">
        <f>SUM(OsloCTM2!W28:X28)</f>
        <v>5.2825731269495614E-2</v>
      </c>
      <c r="H28">
        <f>OsloCTM2!Y28</f>
        <v>0.14772526631746219</v>
      </c>
      <c r="I28">
        <f>OsloCTM2!Z28</f>
        <v>6.7886128616741703E-2</v>
      </c>
      <c r="J28" s="1">
        <f t="shared" si="2"/>
        <v>0.25872809024348531</v>
      </c>
      <c r="K28">
        <f>SUM(NorESM!K28:L28)+OsloCTM2!Q28</f>
        <v>2.4931538012675961E-2</v>
      </c>
      <c r="L28">
        <f>SUM(NorESM!M28:N28)</f>
        <v>4.6617068311237568E-2</v>
      </c>
      <c r="M28">
        <f>NorESM!O28</f>
        <v>0.11086787425238548</v>
      </c>
      <c r="N28">
        <f>NorESM!P28</f>
        <v>4.1862369896654511E-2</v>
      </c>
      <c r="O28" s="1">
        <f t="shared" si="3"/>
        <v>0.22427885047295351</v>
      </c>
      <c r="P28">
        <f>HadGEM3!I28+OsloCTM2!Q28</f>
        <v>8.3259999615078753E-2</v>
      </c>
      <c r="Q28">
        <f>HadGEM3!J28</f>
        <v>3.5127863778851132E-2</v>
      </c>
      <c r="R28">
        <f>HadGEM3!K28</f>
        <v>7.4944497619088252E-2</v>
      </c>
      <c r="S28">
        <f>HadGEM3!L28</f>
        <v>3.3975072628711502E-2</v>
      </c>
      <c r="T28" s="1">
        <f t="shared" si="4"/>
        <v>0.22730743364172964</v>
      </c>
      <c r="U28">
        <f>SUM(ECHAM6!G28:H28)</f>
        <v>0</v>
      </c>
      <c r="V28" s="1">
        <f t="shared" si="5"/>
        <v>0</v>
      </c>
      <c r="W28" s="5" t="s">
        <v>76</v>
      </c>
      <c r="X28">
        <f t="shared" si="80"/>
        <v>3.2827500555846829E-2</v>
      </c>
      <c r="Y28">
        <f t="shared" si="81"/>
        <v>0</v>
      </c>
      <c r="Z28">
        <f t="shared" si="81"/>
        <v>0</v>
      </c>
      <c r="AA28">
        <f t="shared" si="82"/>
        <v>4.4856887786528105E-2</v>
      </c>
      <c r="AB28">
        <f t="shared" si="82"/>
        <v>0.1111792127296453</v>
      </c>
      <c r="AC28">
        <f t="shared" si="82"/>
        <v>4.7907857047369239E-2</v>
      </c>
      <c r="AD28" s="1">
        <f t="shared" si="83"/>
        <v>0.23677145811938946</v>
      </c>
      <c r="AE28">
        <f t="shared" si="84"/>
        <v>-9.7090359602142306E-3</v>
      </c>
      <c r="AF28">
        <f t="shared" si="85"/>
        <v>0</v>
      </c>
      <c r="AG28">
        <f t="shared" si="85"/>
        <v>0</v>
      </c>
      <c r="AH28">
        <f t="shared" si="86"/>
        <v>3.5127863778851132E-2</v>
      </c>
      <c r="AI28">
        <f t="shared" si="86"/>
        <v>7.4944497619088252E-2</v>
      </c>
      <c r="AJ28">
        <f t="shared" si="86"/>
        <v>3.3975072628711502E-2</v>
      </c>
      <c r="AK28" s="1">
        <f t="shared" si="87"/>
        <v>0.13433839806643666</v>
      </c>
      <c r="AL28">
        <f t="shared" si="88"/>
        <v>8.3259999615078753E-2</v>
      </c>
      <c r="AM28">
        <f t="shared" si="89"/>
        <v>0</v>
      </c>
      <c r="AN28">
        <f t="shared" si="90"/>
        <v>0</v>
      </c>
      <c r="AO28">
        <f t="shared" si="91"/>
        <v>5.2825731269495614E-2</v>
      </c>
      <c r="AP28">
        <f t="shared" si="91"/>
        <v>0.14772526631746219</v>
      </c>
      <c r="AQ28">
        <f t="shared" si="91"/>
        <v>6.7886128616741703E-2</v>
      </c>
      <c r="AR28" s="1">
        <f t="shared" si="92"/>
        <v>0.35169712581877827</v>
      </c>
    </row>
    <row r="29" spans="1:44" x14ac:dyDescent="0.25">
      <c r="A29" t="s">
        <v>34</v>
      </c>
      <c r="B29" t="s">
        <v>34</v>
      </c>
      <c r="C29" t="s">
        <v>134</v>
      </c>
      <c r="D29">
        <f>SUM(OsloCTM2!P29:U29)</f>
        <v>-1.8419874711036271E-2</v>
      </c>
      <c r="E29">
        <f>OsloCTM2!I29</f>
        <v>0</v>
      </c>
      <c r="G29">
        <f>SUM(OsloCTM2!W29:X29)</f>
        <v>9.1984617140900143E-2</v>
      </c>
      <c r="H29">
        <f>OsloCTM2!Y29</f>
        <v>0.12956990781700389</v>
      </c>
      <c r="I29">
        <f>OsloCTM2!Z29</f>
        <v>5.9542958670467772E-2</v>
      </c>
      <c r="J29" s="1">
        <f t="shared" si="2"/>
        <v>0.26267760891733555</v>
      </c>
      <c r="K29">
        <f>SUM(NorESM!K29:L29)+OsloCTM2!Q29</f>
        <v>1.4162779737336744E-2</v>
      </c>
      <c r="L29">
        <f>SUM(NorESM!M29:N29)</f>
        <v>7.0627214268766711E-2</v>
      </c>
      <c r="M29">
        <f>NorESM!O29</f>
        <v>9.3527653067056307E-2</v>
      </c>
      <c r="N29">
        <f>NorESM!P29</f>
        <v>3.6991129654363311E-2</v>
      </c>
      <c r="O29" s="1">
        <f t="shared" si="3"/>
        <v>0.21530877672752308</v>
      </c>
      <c r="P29">
        <f>HadGEM3!I29+OsloCTM2!Q29</f>
        <v>6.2814600325779679E-2</v>
      </c>
      <c r="Q29">
        <f>HadGEM3!J29</f>
        <v>5.847577130823442E-2</v>
      </c>
      <c r="R29">
        <f>HadGEM3!K29</f>
        <v>6.3636706444729504E-2</v>
      </c>
      <c r="S29">
        <f>HadGEM3!L29</f>
        <v>2.8848838700614683E-2</v>
      </c>
      <c r="T29" s="1">
        <f t="shared" si="4"/>
        <v>0.21377591677935828</v>
      </c>
      <c r="U29">
        <f>SUM(ECHAM6!G29:H29)</f>
        <v>0</v>
      </c>
      <c r="V29" s="1">
        <f t="shared" si="5"/>
        <v>0</v>
      </c>
      <c r="W29" s="5" t="s">
        <v>76</v>
      </c>
      <c r="X29">
        <f t="shared" si="80"/>
        <v>1.9519168450693385E-2</v>
      </c>
      <c r="Y29">
        <f t="shared" si="81"/>
        <v>0</v>
      </c>
      <c r="Z29">
        <f t="shared" si="81"/>
        <v>0</v>
      </c>
      <c r="AA29">
        <f t="shared" si="82"/>
        <v>7.3695867572633758E-2</v>
      </c>
      <c r="AB29">
        <f t="shared" si="82"/>
        <v>9.5578089109596573E-2</v>
      </c>
      <c r="AC29">
        <f t="shared" si="82"/>
        <v>4.1794309008481918E-2</v>
      </c>
      <c r="AD29" s="1">
        <f t="shared" si="83"/>
        <v>0.23058743414140564</v>
      </c>
      <c r="AE29">
        <f t="shared" si="84"/>
        <v>-1.8419874711036271E-2</v>
      </c>
      <c r="AF29">
        <f t="shared" si="85"/>
        <v>0</v>
      </c>
      <c r="AG29">
        <f t="shared" si="85"/>
        <v>0</v>
      </c>
      <c r="AH29">
        <f t="shared" si="86"/>
        <v>5.847577130823442E-2</v>
      </c>
      <c r="AI29">
        <f t="shared" si="86"/>
        <v>6.3636706444729504E-2</v>
      </c>
      <c r="AJ29">
        <f t="shared" si="86"/>
        <v>2.8848838700614683E-2</v>
      </c>
      <c r="AK29" s="1">
        <f t="shared" si="87"/>
        <v>0.13254144174254234</v>
      </c>
      <c r="AL29">
        <f t="shared" si="88"/>
        <v>6.2814600325779679E-2</v>
      </c>
      <c r="AM29">
        <f t="shared" si="89"/>
        <v>0</v>
      </c>
      <c r="AN29">
        <f t="shared" si="90"/>
        <v>0</v>
      </c>
      <c r="AO29">
        <f t="shared" si="91"/>
        <v>9.1984617140900143E-2</v>
      </c>
      <c r="AP29">
        <f t="shared" si="91"/>
        <v>0.12956990781700389</v>
      </c>
      <c r="AQ29">
        <f t="shared" si="91"/>
        <v>5.9542958670467772E-2</v>
      </c>
      <c r="AR29" s="1">
        <f t="shared" si="92"/>
        <v>0.34391208395415152</v>
      </c>
    </row>
    <row r="30" spans="1:44" x14ac:dyDescent="0.25">
      <c r="A30" t="s">
        <v>34</v>
      </c>
      <c r="B30" t="s">
        <v>34</v>
      </c>
      <c r="C30" t="s">
        <v>135</v>
      </c>
      <c r="D30">
        <f>SUM(OsloCTM2!P30:U30)</f>
        <v>-1.7717821429588901E-2</v>
      </c>
      <c r="E30">
        <f>OsloCTM2!I30</f>
        <v>0</v>
      </c>
      <c r="G30">
        <f>SUM(OsloCTM2!W30:X30)</f>
        <v>7.8101136719751579E-2</v>
      </c>
      <c r="H30">
        <f>OsloCTM2!Y30</f>
        <v>0.14956838836500386</v>
      </c>
      <c r="I30">
        <f>OsloCTM2!Z30</f>
        <v>6.873312265841687E-2</v>
      </c>
      <c r="J30" s="1">
        <f t="shared" si="2"/>
        <v>0.27868482631358338</v>
      </c>
      <c r="K30">
        <f>SUM(NorESM!K30:L30)+OsloCTM2!Q30</f>
        <v>2.1355305124956769E-2</v>
      </c>
      <c r="L30">
        <f>SUM(NorESM!M30:N30)</f>
        <v>6.3401291984079414E-2</v>
      </c>
      <c r="M30">
        <f>NorESM!O30</f>
        <v>0.11134347916593204</v>
      </c>
      <c r="N30">
        <f>NorESM!P30</f>
        <v>4.2041952566114087E-2</v>
      </c>
      <c r="O30" s="1">
        <f t="shared" si="3"/>
        <v>0.23814202884108232</v>
      </c>
      <c r="P30">
        <f>HadGEM3!I30+OsloCTM2!Q30</f>
        <v>8.3917860844528278E-2</v>
      </c>
      <c r="Q30">
        <f>HadGEM3!J30</f>
        <v>5.4374237628423742E-2</v>
      </c>
      <c r="R30">
        <f>HadGEM3!K30</f>
        <v>7.7842960618340493E-2</v>
      </c>
      <c r="S30">
        <f>HadGEM3!L30</f>
        <v>3.5289051560316829E-2</v>
      </c>
      <c r="T30" s="1">
        <f t="shared" si="4"/>
        <v>0.2514241106516093</v>
      </c>
      <c r="U30">
        <f>SUM(ECHAM6!G30:H30)</f>
        <v>0</v>
      </c>
      <c r="V30" s="1">
        <f t="shared" si="5"/>
        <v>0</v>
      </c>
      <c r="W30" s="5" t="s">
        <v>76</v>
      </c>
      <c r="X30">
        <f t="shared" si="80"/>
        <v>2.9185114846632051E-2</v>
      </c>
      <c r="Y30">
        <f t="shared" si="81"/>
        <v>0</v>
      </c>
      <c r="Z30">
        <f t="shared" si="81"/>
        <v>0</v>
      </c>
      <c r="AA30">
        <f t="shared" si="82"/>
        <v>6.5292222110751585E-2</v>
      </c>
      <c r="AB30">
        <f t="shared" si="82"/>
        <v>0.11291827604975879</v>
      </c>
      <c r="AC30">
        <f t="shared" si="82"/>
        <v>4.8688042261615931E-2</v>
      </c>
      <c r="AD30" s="1">
        <f t="shared" si="83"/>
        <v>0.25608365526875837</v>
      </c>
      <c r="AE30">
        <f t="shared" si="84"/>
        <v>-1.7717821429588901E-2</v>
      </c>
      <c r="AF30">
        <f t="shared" si="85"/>
        <v>0</v>
      </c>
      <c r="AG30">
        <f t="shared" si="85"/>
        <v>0</v>
      </c>
      <c r="AH30">
        <f t="shared" si="86"/>
        <v>5.4374237628423742E-2</v>
      </c>
      <c r="AI30">
        <f t="shared" si="86"/>
        <v>7.7842960618340493E-2</v>
      </c>
      <c r="AJ30">
        <f t="shared" si="86"/>
        <v>3.5289051560316829E-2</v>
      </c>
      <c r="AK30" s="1">
        <f t="shared" si="87"/>
        <v>0.14978842837749218</v>
      </c>
      <c r="AL30">
        <f t="shared" si="88"/>
        <v>8.3917860844528278E-2</v>
      </c>
      <c r="AM30">
        <f t="shared" si="89"/>
        <v>0</v>
      </c>
      <c r="AN30">
        <f t="shared" si="90"/>
        <v>0</v>
      </c>
      <c r="AO30">
        <f t="shared" si="91"/>
        <v>7.8101136719751579E-2</v>
      </c>
      <c r="AP30">
        <f t="shared" si="91"/>
        <v>0.14956838836500386</v>
      </c>
      <c r="AQ30">
        <f t="shared" si="91"/>
        <v>6.873312265841687E-2</v>
      </c>
      <c r="AR30" s="1">
        <f t="shared" si="92"/>
        <v>0.38032050858770056</v>
      </c>
    </row>
    <row r="31" spans="1:44" x14ac:dyDescent="0.25">
      <c r="A31" t="s">
        <v>34</v>
      </c>
      <c r="B31" t="s">
        <v>34</v>
      </c>
      <c r="C31" t="s">
        <v>32</v>
      </c>
      <c r="D31">
        <f>SUM(OsloCTM2!P31:U31)</f>
        <v>-5.1607739130434781E-3</v>
      </c>
      <c r="E31">
        <f>OsloCTM2!I31</f>
        <v>0</v>
      </c>
      <c r="G31">
        <f>SUM(OsloCTM2!W31:X31)</f>
        <v>0.16609426086956522</v>
      </c>
      <c r="H31">
        <f>OsloCTM2!Y31</f>
        <v>8.6956521739130432E-2</v>
      </c>
      <c r="I31">
        <f>OsloCTM2!Z31</f>
        <v>3.9960270615868987E-2</v>
      </c>
      <c r="J31" s="1">
        <f t="shared" si="2"/>
        <v>0.28785027931152118</v>
      </c>
      <c r="K31">
        <f>SUM(NorESM!K31:L31)</f>
        <v>0</v>
      </c>
      <c r="L31">
        <f>SUM(NorESM!M31:N31)</f>
        <v>0</v>
      </c>
      <c r="M31">
        <f>NorESM!O31</f>
        <v>0</v>
      </c>
      <c r="N31">
        <f>NorESM!P31</f>
        <v>0</v>
      </c>
      <c r="O31" s="1">
        <f t="shared" si="3"/>
        <v>0</v>
      </c>
      <c r="P31">
        <f>HadGEM3!I31</f>
        <v>0</v>
      </c>
      <c r="Q31">
        <f>HadGEM3!J31</f>
        <v>0</v>
      </c>
      <c r="R31">
        <f>HadGEM3!K31</f>
        <v>0</v>
      </c>
      <c r="S31">
        <f>HadGEM3!L31</f>
        <v>0</v>
      </c>
      <c r="T31" s="1">
        <f t="shared" si="4"/>
        <v>0</v>
      </c>
      <c r="U31">
        <f>SUM(ECHAM6!G31:H31)</f>
        <v>0</v>
      </c>
      <c r="V31" s="1">
        <f t="shared" si="5"/>
        <v>0</v>
      </c>
    </row>
    <row r="32" spans="1:44" x14ac:dyDescent="0.25">
      <c r="A32" t="s">
        <v>34</v>
      </c>
      <c r="B32" t="s">
        <v>34</v>
      </c>
      <c r="C32" t="s">
        <v>33</v>
      </c>
      <c r="D32">
        <f>SUM(OsloCTM2!P32:U32)</f>
        <v>8.2196876106194697E-3</v>
      </c>
      <c r="E32">
        <f>OsloCTM2!I32</f>
        <v>0</v>
      </c>
      <c r="G32">
        <f>SUM(OsloCTM2!W32:X32)</f>
        <v>-5.317141592920354E-2</v>
      </c>
      <c r="H32">
        <f>OsloCTM2!Y32</f>
        <v>0.17699115044247787</v>
      </c>
      <c r="I32">
        <f>OsloCTM2!Z32</f>
        <v>8.1335064085397063E-2</v>
      </c>
      <c r="J32" s="1">
        <f t="shared" si="2"/>
        <v>0.21337448620929086</v>
      </c>
      <c r="K32">
        <f>SUM(NorESM!K32:L32)</f>
        <v>0</v>
      </c>
      <c r="L32">
        <f>SUM(NorESM!M32:N32)</f>
        <v>0</v>
      </c>
      <c r="M32">
        <f>NorESM!O32</f>
        <v>0</v>
      </c>
      <c r="N32">
        <f>NorESM!P32</f>
        <v>0</v>
      </c>
      <c r="O32" s="1">
        <f t="shared" si="3"/>
        <v>0</v>
      </c>
      <c r="P32">
        <f>HadGEM3!I32</f>
        <v>0</v>
      </c>
      <c r="Q32">
        <f>HadGEM3!J32</f>
        <v>0</v>
      </c>
      <c r="R32">
        <f>HadGEM3!K32</f>
        <v>0</v>
      </c>
      <c r="S32">
        <f>HadGEM3!L32</f>
        <v>0</v>
      </c>
      <c r="T32" s="1">
        <f t="shared" si="4"/>
        <v>0</v>
      </c>
      <c r="U32">
        <f>SUM(ECHAM6!G32:H32)</f>
        <v>0</v>
      </c>
      <c r="V32" s="1">
        <f t="shared" si="5"/>
        <v>0</v>
      </c>
    </row>
    <row r="33" spans="1:44" x14ac:dyDescent="0.25">
      <c r="A33" t="s">
        <v>34</v>
      </c>
      <c r="B33" t="s">
        <v>34</v>
      </c>
      <c r="C33" t="s">
        <v>28</v>
      </c>
      <c r="D33">
        <f>SUM(OsloCTM2!P33:U33)</f>
        <v>-1.3575282177809645E-2</v>
      </c>
      <c r="E33">
        <f>OsloCTM2!I33</f>
        <v>0</v>
      </c>
      <c r="G33">
        <f>SUM(OsloCTM2!W33:X33)</f>
        <v>8.3479860986636401E-2</v>
      </c>
      <c r="H33">
        <f>OsloCTM2!Y33</f>
        <v>0.12746210989623788</v>
      </c>
      <c r="I33">
        <f>OsloCTM2!Z33</f>
        <v>5.8574334654317946E-2</v>
      </c>
      <c r="J33" s="1">
        <f t="shared" ref="J33:J34" si="93">SUM(D33:I33)</f>
        <v>0.25594102335938257</v>
      </c>
      <c r="K33">
        <f>SUM(NorESM!K33:L33)+OsloCTM2!Q33</f>
        <v>1.6845575838127163E-2</v>
      </c>
      <c r="L33">
        <f>SUM(NorESM!M33:N33)</f>
        <v>6.3989165933263745E-2</v>
      </c>
      <c r="M33">
        <f>NorESM!O33</f>
        <v>9.2060341752904229E-2</v>
      </c>
      <c r="N33">
        <f>NorESM!P33</f>
        <v>3.6410793237430038E-2</v>
      </c>
      <c r="O33" s="1">
        <f t="shared" ref="O33:O34" si="94">SUM(K33:N33)</f>
        <v>0.20930587676172518</v>
      </c>
      <c r="P33">
        <f>HadGEM3!I33+OsloCTM2!Q33</f>
        <v>6.3367894939473188E-2</v>
      </c>
      <c r="Q33">
        <f>HadGEM3!J33</f>
        <v>5.6845612189856717E-2</v>
      </c>
      <c r="R33">
        <f>HadGEM3!K33</f>
        <v>6.2656034514729633E-2</v>
      </c>
      <c r="S33">
        <f>HadGEM3!L33</f>
        <v>2.8404264367539182E-2</v>
      </c>
      <c r="T33" s="1">
        <f t="shared" ref="T33:T34" si="95">SUM(P33:S33)</f>
        <v>0.21127380601159873</v>
      </c>
      <c r="U33">
        <f>SUM(ECHAM6!G33:H33)</f>
        <v>0</v>
      </c>
      <c r="V33" s="1">
        <f t="shared" ref="V33:V34" si="96">SUM(U33)</f>
        <v>0</v>
      </c>
      <c r="W33" s="5" t="s">
        <v>76</v>
      </c>
      <c r="X33">
        <f t="shared" ref="X33:X34" si="97">AVERAGE(D33,K33,P33)</f>
        <v>2.2212729533263569E-2</v>
      </c>
      <c r="Y33">
        <f t="shared" ref="Y33:Y34" si="98">E33</f>
        <v>0</v>
      </c>
      <c r="Z33">
        <f t="shared" ref="Z33:Z34" si="99">F33</f>
        <v>0</v>
      </c>
      <c r="AA33">
        <f t="shared" ref="AA33:AA34" si="100">AVERAGE(G33,L33,Q33)</f>
        <v>6.8104879703252297E-2</v>
      </c>
      <c r="AB33">
        <f t="shared" ref="AB33:AB34" si="101">AVERAGE(H33,M33,R33)</f>
        <v>9.4059495387957257E-2</v>
      </c>
      <c r="AC33">
        <f t="shared" ref="AC33:AC34" si="102">AVERAGE(I33,N33,S33)</f>
        <v>4.1129797419762387E-2</v>
      </c>
      <c r="AD33" s="1">
        <f t="shared" ref="AD33:AD34" si="103">SUM(X33:AC33)</f>
        <v>0.22550690204423551</v>
      </c>
      <c r="AE33">
        <f t="shared" ref="AE33:AE34" si="104">MIN(D33,K33,P33)</f>
        <v>-1.3575282177809645E-2</v>
      </c>
      <c r="AF33">
        <f t="shared" ref="AF33:AF34" si="105">Y33</f>
        <v>0</v>
      </c>
      <c r="AG33">
        <f t="shared" ref="AG33:AG34" si="106">Z33</f>
        <v>0</v>
      </c>
      <c r="AH33">
        <f t="shared" ref="AH33:AH34" si="107">MIN(G33,L33,Q33)</f>
        <v>5.6845612189856717E-2</v>
      </c>
      <c r="AI33">
        <f t="shared" ref="AI33:AI34" si="108">MIN(H33,M33,R33)</f>
        <v>6.2656034514729633E-2</v>
      </c>
      <c r="AJ33">
        <f t="shared" ref="AJ33:AJ34" si="109">MIN(I33,N33,S33)</f>
        <v>2.8404264367539182E-2</v>
      </c>
      <c r="AK33" s="1">
        <f t="shared" ref="AK33:AK34" si="110">SUM(AE33:AJ33)</f>
        <v>0.13433062889431588</v>
      </c>
      <c r="AL33">
        <f t="shared" ref="AL33:AL34" si="111">MAX(D33,K33,P33)</f>
        <v>6.3367894939473188E-2</v>
      </c>
      <c r="AM33">
        <f t="shared" ref="AM33:AM34" si="112">AF33</f>
        <v>0</v>
      </c>
      <c r="AN33">
        <f t="shared" ref="AN33:AN34" si="113">Z33</f>
        <v>0</v>
      </c>
      <c r="AO33">
        <f t="shared" ref="AO33:AO34" si="114">MAX(G33,L33,Q33)</f>
        <v>8.3479860986636401E-2</v>
      </c>
      <c r="AP33">
        <f t="shared" ref="AP33:AP34" si="115">MAX(H33,M33,R33)</f>
        <v>0.12746210989623788</v>
      </c>
      <c r="AQ33">
        <f t="shared" ref="AQ33:AQ34" si="116">MAX(I33,N33,S33)</f>
        <v>5.8574334654317946E-2</v>
      </c>
      <c r="AR33" s="1">
        <f t="shared" ref="AR33:AR34" si="117">SUM(AL33:AQ33)</f>
        <v>0.33288420047666545</v>
      </c>
    </row>
    <row r="34" spans="1:44" x14ac:dyDescent="0.25">
      <c r="A34" t="s">
        <v>34</v>
      </c>
      <c r="B34" t="s">
        <v>34</v>
      </c>
      <c r="C34" t="s">
        <v>29</v>
      </c>
      <c r="D34">
        <f>SUM(OsloCTM2!P34:U34)</f>
        <v>-1.4890322749596768E-2</v>
      </c>
      <c r="E34">
        <f>OsloCTM2!I34</f>
        <v>0</v>
      </c>
      <c r="G34">
        <f>SUM(OsloCTM2!W34:X34)</f>
        <v>6.7798039109081359E-2</v>
      </c>
      <c r="H34">
        <f>OsloCTM2!Y34</f>
        <v>0.14896971674006412</v>
      </c>
      <c r="I34">
        <f>OsloCTM2!Z34</f>
        <v>6.84580072367766E-2</v>
      </c>
      <c r="J34" s="1">
        <f t="shared" si="93"/>
        <v>0.27033544033632528</v>
      </c>
      <c r="K34">
        <f>SUM(NorESM!K34:L34)+OsloCTM2!Q34</f>
        <v>2.2515543021440654E-2</v>
      </c>
      <c r="L34">
        <f>SUM(NorESM!M34:N34)</f>
        <v>5.6211529759947289E-2</v>
      </c>
      <c r="M34">
        <f>NorESM!O34</f>
        <v>0.11125255108267293</v>
      </c>
      <c r="N34">
        <f>NorESM!P34</f>
        <v>4.2007619220399153E-2</v>
      </c>
      <c r="O34" s="1">
        <f t="shared" si="94"/>
        <v>0.23198724308446</v>
      </c>
      <c r="P34">
        <f>HadGEM3!I34+OsloCTM2!Q34</f>
        <v>8.3115336410204174E-2</v>
      </c>
      <c r="Q34">
        <f>HadGEM3!J34</f>
        <v>4.8637330158223357E-2</v>
      </c>
      <c r="R34">
        <f>HadGEM3!K34</f>
        <v>7.7218445652571563E-2</v>
      </c>
      <c r="S34">
        <f>HadGEM3!L34</f>
        <v>3.500593616167131E-2</v>
      </c>
      <c r="T34" s="1">
        <f t="shared" si="95"/>
        <v>0.24397704838267043</v>
      </c>
      <c r="U34">
        <f>SUM(ECHAM6!G34:H34)</f>
        <v>0</v>
      </c>
      <c r="V34" s="1">
        <f t="shared" si="96"/>
        <v>0</v>
      </c>
      <c r="W34" s="5" t="s">
        <v>76</v>
      </c>
      <c r="X34">
        <f t="shared" si="97"/>
        <v>3.0246852227349352E-2</v>
      </c>
      <c r="Y34">
        <f t="shared" si="98"/>
        <v>0</v>
      </c>
      <c r="Z34">
        <f t="shared" si="99"/>
        <v>0</v>
      </c>
      <c r="AA34">
        <f t="shared" si="100"/>
        <v>5.7548966342417331E-2</v>
      </c>
      <c r="AB34">
        <f t="shared" si="101"/>
        <v>0.11248023782510287</v>
      </c>
      <c r="AC34">
        <f t="shared" si="102"/>
        <v>4.8490520872949021E-2</v>
      </c>
      <c r="AD34" s="1">
        <f t="shared" si="103"/>
        <v>0.24876657726781859</v>
      </c>
      <c r="AE34">
        <f t="shared" si="104"/>
        <v>-1.4890322749596768E-2</v>
      </c>
      <c r="AF34">
        <f t="shared" si="105"/>
        <v>0</v>
      </c>
      <c r="AG34">
        <f t="shared" si="106"/>
        <v>0</v>
      </c>
      <c r="AH34">
        <f t="shared" si="107"/>
        <v>4.8637330158223357E-2</v>
      </c>
      <c r="AI34">
        <f t="shared" si="108"/>
        <v>7.7218445652571563E-2</v>
      </c>
      <c r="AJ34">
        <f t="shared" si="109"/>
        <v>3.500593616167131E-2</v>
      </c>
      <c r="AK34" s="1">
        <f t="shared" si="110"/>
        <v>0.14597138922286945</v>
      </c>
      <c r="AL34">
        <f t="shared" si="111"/>
        <v>8.3115336410204174E-2</v>
      </c>
      <c r="AM34">
        <f t="shared" si="112"/>
        <v>0</v>
      </c>
      <c r="AN34">
        <f t="shared" si="113"/>
        <v>0</v>
      </c>
      <c r="AO34">
        <f t="shared" si="114"/>
        <v>6.7798039109081359E-2</v>
      </c>
      <c r="AP34">
        <f t="shared" si="115"/>
        <v>0.14896971674006412</v>
      </c>
      <c r="AQ34">
        <f t="shared" si="116"/>
        <v>6.84580072367766E-2</v>
      </c>
      <c r="AR34" s="1">
        <f t="shared" si="117"/>
        <v>0.3683410994961262</v>
      </c>
    </row>
    <row r="35" spans="1:44" x14ac:dyDescent="0.25">
      <c r="A35" t="s">
        <v>35</v>
      </c>
      <c r="B35" t="s">
        <v>128</v>
      </c>
      <c r="C35" t="s">
        <v>24</v>
      </c>
      <c r="D35">
        <f>SUM(OsloCTM2!P35:U35)</f>
        <v>-0.49768534501061568</v>
      </c>
      <c r="E35">
        <f>OsloCTM2!I35</f>
        <v>0</v>
      </c>
      <c r="G35">
        <f>SUM(OsloCTM2!W35:X35)</f>
        <v>0.45658853503184715</v>
      </c>
      <c r="H35">
        <f>OsloCTM2!Y35</f>
        <v>0.64861995753715507</v>
      </c>
      <c r="I35">
        <f>OsloCTM2!Z35</f>
        <v>0.29806883384543897</v>
      </c>
      <c r="J35" s="1">
        <f t="shared" si="2"/>
        <v>0.90559198140382557</v>
      </c>
      <c r="K35">
        <f>SUM(NorESM!K35:L35)++OsloCTM2!Q35</f>
        <v>3.5597987687042677E-2</v>
      </c>
      <c r="L35">
        <f>SUM(NorESM!M35:N35)</f>
        <v>0.27095678134773954</v>
      </c>
      <c r="M35">
        <f>NorESM!O35</f>
        <v>0.39227324424225191</v>
      </c>
      <c r="N35">
        <f>NorESM!P35</f>
        <v>0.15514802266340644</v>
      </c>
      <c r="O35" s="1">
        <f t="shared" si="3"/>
        <v>0.85397603594044058</v>
      </c>
      <c r="P35">
        <f>HadGEM3!I35+OsloCTM2!Q35</f>
        <v>1.357593601579643</v>
      </c>
      <c r="Q35">
        <f>HadGEM3!J35</f>
        <v>0.62954187395983385</v>
      </c>
      <c r="R35">
        <f>HadGEM3!K35</f>
        <v>0.44259512478441809</v>
      </c>
      <c r="S35">
        <f>HadGEM3!L35</f>
        <v>0.20064450343095344</v>
      </c>
      <c r="T35" s="1">
        <f t="shared" si="4"/>
        <v>2.6303751037548486</v>
      </c>
      <c r="U35">
        <f>SUM(ECHAM6!G35:H35)</f>
        <v>0</v>
      </c>
      <c r="V35" s="1">
        <f t="shared" si="5"/>
        <v>0</v>
      </c>
      <c r="W35" s="5" t="s">
        <v>76</v>
      </c>
      <c r="X35">
        <f t="shared" ref="X35:X40" si="118">AVERAGE(D35,K35,P35)</f>
        <v>0.29850208141869</v>
      </c>
      <c r="Y35">
        <f t="shared" ref="Y35:Z40" si="119">E35</f>
        <v>0</v>
      </c>
      <c r="Z35">
        <f t="shared" si="119"/>
        <v>0</v>
      </c>
      <c r="AA35">
        <f t="shared" ref="AA35:AC40" si="120">AVERAGE(G35,L35,Q35)</f>
        <v>0.45236239677980689</v>
      </c>
      <c r="AB35">
        <f t="shared" si="120"/>
        <v>0.49449610885460843</v>
      </c>
      <c r="AC35">
        <f t="shared" si="120"/>
        <v>0.21795378664659962</v>
      </c>
      <c r="AD35" s="1">
        <f t="shared" ref="AD35:AD40" si="121">SUM(X35:AC35)</f>
        <v>1.463314373699705</v>
      </c>
      <c r="AE35">
        <f t="shared" ref="AE35:AE40" si="122">MIN(D35,K35,P35)</f>
        <v>-0.49768534501061568</v>
      </c>
      <c r="AF35">
        <f t="shared" ref="AF35:AG40" si="123">Y35</f>
        <v>0</v>
      </c>
      <c r="AG35">
        <f t="shared" si="123"/>
        <v>0</v>
      </c>
      <c r="AH35">
        <f t="shared" ref="AH35:AJ40" si="124">MIN(G35,L35,Q35)</f>
        <v>0.27095678134773954</v>
      </c>
      <c r="AI35">
        <f t="shared" si="124"/>
        <v>0.39227324424225191</v>
      </c>
      <c r="AJ35">
        <f t="shared" si="124"/>
        <v>0.15514802266340644</v>
      </c>
      <c r="AK35" s="1">
        <f t="shared" ref="AK35:AK40" si="125">SUM(AE35:AJ35)</f>
        <v>0.32069270324278221</v>
      </c>
      <c r="AL35">
        <f t="shared" ref="AL35:AL40" si="126">MAX(D35,K35,P35)</f>
        <v>1.357593601579643</v>
      </c>
      <c r="AM35">
        <f t="shared" ref="AM35:AM40" si="127">AF35</f>
        <v>0</v>
      </c>
      <c r="AN35">
        <f t="shared" ref="AN35:AN40" si="128">Z35</f>
        <v>0</v>
      </c>
      <c r="AO35">
        <f t="shared" ref="AO35:AQ40" si="129">MAX(G35,L35,Q35)</f>
        <v>0.62954187395983385</v>
      </c>
      <c r="AP35">
        <f t="shared" si="129"/>
        <v>0.64861995753715507</v>
      </c>
      <c r="AQ35">
        <f t="shared" si="129"/>
        <v>0.29806883384543897</v>
      </c>
      <c r="AR35" s="1">
        <f t="shared" ref="AR35:AR40" si="130">SUM(AL35:AQ35)</f>
        <v>2.9338242669220711</v>
      </c>
    </row>
    <row r="36" spans="1:44" x14ac:dyDescent="0.25">
      <c r="A36" t="s">
        <v>35</v>
      </c>
      <c r="B36" t="s">
        <v>128</v>
      </c>
      <c r="C36" t="s">
        <v>25</v>
      </c>
      <c r="D36">
        <f>SUM(OsloCTM2!P36:U36)</f>
        <v>-0.46181055807465099</v>
      </c>
      <c r="E36">
        <f>OsloCTM2!I36</f>
        <v>0</v>
      </c>
      <c r="G36">
        <f>SUM(OsloCTM2!W36:X36)</f>
        <v>0.62652363050483351</v>
      </c>
      <c r="H36">
        <f>OsloCTM2!Y36</f>
        <v>0.1682778374507698</v>
      </c>
      <c r="I36">
        <f>OsloCTM2!Z36</f>
        <v>7.7330921116638709E-2</v>
      </c>
      <c r="J36" s="1">
        <f t="shared" si="2"/>
        <v>0.41032183099759101</v>
      </c>
      <c r="K36">
        <f>SUM(NorESM!K36:L36)+OsloCTM2!Q36</f>
        <v>-0.24408876872204097</v>
      </c>
      <c r="L36">
        <f>SUM(NorESM!M36:N36)</f>
        <v>0.27027217268887849</v>
      </c>
      <c r="M36">
        <f>NorESM!O36</f>
        <v>0.28630579402103407</v>
      </c>
      <c r="N36">
        <f>NorESM!P36</f>
        <v>0.10810560889423763</v>
      </c>
      <c r="O36" s="1">
        <f t="shared" si="3"/>
        <v>0.42059480688210921</v>
      </c>
      <c r="P36">
        <f>HadGEM3!I36+OsloCTM2!Q36</f>
        <v>-4.1428170767304753</v>
      </c>
      <c r="Q36">
        <f>HadGEM3!J36</f>
        <v>0.90315583830834989</v>
      </c>
      <c r="R36">
        <f>HadGEM3!K36</f>
        <v>0.34988188208949189</v>
      </c>
      <c r="S36">
        <f>HadGEM3!L36</f>
        <v>0.15861421095753789</v>
      </c>
      <c r="T36" s="1">
        <f t="shared" si="4"/>
        <v>-2.7311651453750958</v>
      </c>
      <c r="U36">
        <f>SUM(ECHAM6!G36:H36)</f>
        <v>0</v>
      </c>
      <c r="V36" s="1">
        <f t="shared" si="5"/>
        <v>0</v>
      </c>
      <c r="W36" s="5" t="s">
        <v>76</v>
      </c>
      <c r="X36">
        <f t="shared" si="118"/>
        <v>-1.6162388011757223</v>
      </c>
      <c r="Y36">
        <f t="shared" si="119"/>
        <v>0</v>
      </c>
      <c r="Z36">
        <f t="shared" si="119"/>
        <v>0</v>
      </c>
      <c r="AA36">
        <f t="shared" si="120"/>
        <v>0.59998388050068729</v>
      </c>
      <c r="AB36">
        <f t="shared" si="120"/>
        <v>0.26815517118709858</v>
      </c>
      <c r="AC36">
        <f t="shared" si="120"/>
        <v>0.11468358032280475</v>
      </c>
      <c r="AD36" s="1">
        <f t="shared" si="121"/>
        <v>-0.63341616916513144</v>
      </c>
      <c r="AE36">
        <f t="shared" si="122"/>
        <v>-4.1428170767304753</v>
      </c>
      <c r="AF36">
        <f t="shared" si="123"/>
        <v>0</v>
      </c>
      <c r="AG36">
        <f t="shared" si="123"/>
        <v>0</v>
      </c>
      <c r="AH36">
        <f t="shared" si="124"/>
        <v>0.27027217268887849</v>
      </c>
      <c r="AI36">
        <f t="shared" si="124"/>
        <v>0.1682778374507698</v>
      </c>
      <c r="AJ36">
        <f t="shared" si="124"/>
        <v>7.7330921116638709E-2</v>
      </c>
      <c r="AK36" s="1">
        <f t="shared" si="125"/>
        <v>-3.626936145474188</v>
      </c>
      <c r="AL36">
        <f t="shared" si="126"/>
        <v>-0.24408876872204097</v>
      </c>
      <c r="AM36">
        <f t="shared" si="127"/>
        <v>0</v>
      </c>
      <c r="AN36">
        <f t="shared" si="128"/>
        <v>0</v>
      </c>
      <c r="AO36">
        <f t="shared" si="129"/>
        <v>0.90315583830834989</v>
      </c>
      <c r="AP36">
        <f t="shared" si="129"/>
        <v>0.34988188208949189</v>
      </c>
      <c r="AQ36">
        <f t="shared" si="129"/>
        <v>0.15861421095753789</v>
      </c>
      <c r="AR36" s="1">
        <f t="shared" si="130"/>
        <v>1.1675631626333387</v>
      </c>
    </row>
    <row r="37" spans="1:44" x14ac:dyDescent="0.25">
      <c r="A37" t="s">
        <v>35</v>
      </c>
      <c r="B37" t="s">
        <v>128</v>
      </c>
      <c r="C37" t="s">
        <v>26</v>
      </c>
      <c r="D37">
        <f>SUM(OsloCTM2!P37:U37)</f>
        <v>-0.36686737326212271</v>
      </c>
      <c r="E37">
        <f>OsloCTM2!I37</f>
        <v>0</v>
      </c>
      <c r="G37">
        <f>SUM(OsloCTM2!W37:X37)</f>
        <v>1.462253433367243</v>
      </c>
      <c r="H37">
        <f>OsloCTM2!Y37</f>
        <v>0.29883011190233977</v>
      </c>
      <c r="I37">
        <f>OsloCTM2!Z37</f>
        <v>0.13732531960756095</v>
      </c>
      <c r="J37" s="1">
        <f t="shared" si="2"/>
        <v>1.5315414916150212</v>
      </c>
      <c r="K37">
        <f>SUM(NorESM!K37:L37)+OsloCTM2!Q37</f>
        <v>-1.2830905361412936</v>
      </c>
      <c r="L37">
        <f>SUM(NorESM!M37:N37)</f>
        <v>0.97586996966779349</v>
      </c>
      <c r="M37">
        <f>NorESM!O37</f>
        <v>0.20468809949542846</v>
      </c>
      <c r="N37">
        <f>NorESM!P37</f>
        <v>8.0956206841969899E-2</v>
      </c>
      <c r="O37" s="1">
        <f t="shared" si="3"/>
        <v>-2.1576260136101796E-2</v>
      </c>
      <c r="P37">
        <f>HadGEM3!I37+OsloCTM2!Q37</f>
        <v>-0.19459952602831951</v>
      </c>
      <c r="Q37">
        <f>HadGEM3!J37</f>
        <v>1.1640000275502964</v>
      </c>
      <c r="R37">
        <f>HadGEM3!K37</f>
        <v>0.32149535570876575</v>
      </c>
      <c r="S37">
        <f>HadGEM3!L37</f>
        <v>0.14574556381063425</v>
      </c>
      <c r="T37" s="1">
        <f t="shared" si="4"/>
        <v>1.4366414210413769</v>
      </c>
      <c r="U37">
        <f>SUM(ECHAM6!G37:H37)</f>
        <v>0</v>
      </c>
      <c r="V37" s="1">
        <f t="shared" si="5"/>
        <v>0</v>
      </c>
      <c r="W37" s="5" t="s">
        <v>76</v>
      </c>
      <c r="X37">
        <f t="shared" si="118"/>
        <v>-0.61485247847724522</v>
      </c>
      <c r="Y37">
        <f t="shared" si="119"/>
        <v>0</v>
      </c>
      <c r="Z37">
        <f t="shared" si="119"/>
        <v>0</v>
      </c>
      <c r="AA37">
        <f t="shared" si="120"/>
        <v>1.200707810195111</v>
      </c>
      <c r="AB37">
        <f t="shared" si="120"/>
        <v>0.27500452236884465</v>
      </c>
      <c r="AC37">
        <f t="shared" si="120"/>
        <v>0.12134236342005504</v>
      </c>
      <c r="AD37" s="1">
        <f t="shared" si="121"/>
        <v>0.9822022175067654</v>
      </c>
      <c r="AE37">
        <f t="shared" si="122"/>
        <v>-1.2830905361412936</v>
      </c>
      <c r="AF37">
        <f t="shared" si="123"/>
        <v>0</v>
      </c>
      <c r="AG37">
        <f t="shared" si="123"/>
        <v>0</v>
      </c>
      <c r="AH37">
        <f t="shared" si="124"/>
        <v>0.97586996966779349</v>
      </c>
      <c r="AI37">
        <f t="shared" si="124"/>
        <v>0.20468809949542846</v>
      </c>
      <c r="AJ37">
        <f t="shared" si="124"/>
        <v>8.0956206841969899E-2</v>
      </c>
      <c r="AK37" s="1">
        <f t="shared" si="125"/>
        <v>-2.1576260136101796E-2</v>
      </c>
      <c r="AL37">
        <f t="shared" si="126"/>
        <v>-0.19459952602831951</v>
      </c>
      <c r="AM37">
        <f t="shared" si="127"/>
        <v>0</v>
      </c>
      <c r="AN37">
        <f t="shared" si="128"/>
        <v>0</v>
      </c>
      <c r="AO37">
        <f t="shared" si="129"/>
        <v>1.462253433367243</v>
      </c>
      <c r="AP37">
        <f t="shared" si="129"/>
        <v>0.32149535570876575</v>
      </c>
      <c r="AQ37">
        <f t="shared" si="129"/>
        <v>0.14574556381063425</v>
      </c>
      <c r="AR37" s="1">
        <f t="shared" si="130"/>
        <v>1.7348948268583235</v>
      </c>
    </row>
    <row r="38" spans="1:44" x14ac:dyDescent="0.25">
      <c r="A38" t="s">
        <v>35</v>
      </c>
      <c r="B38" t="s">
        <v>128</v>
      </c>
      <c r="C38" t="s">
        <v>27</v>
      </c>
      <c r="D38">
        <f>SUM(OsloCTM2!P38:U38)</f>
        <v>-0.14941243594929887</v>
      </c>
      <c r="E38">
        <f>OsloCTM2!I38</f>
        <v>0</v>
      </c>
      <c r="G38">
        <f>SUM(OsloCTM2!W38:X38)</f>
        <v>0.96005073489751891</v>
      </c>
      <c r="H38">
        <f>OsloCTM2!Y38</f>
        <v>1.5844120819848977E-2</v>
      </c>
      <c r="I38">
        <f>OsloCTM2!Z38</f>
        <v>7.281056589764425E-3</v>
      </c>
      <c r="J38" s="1">
        <f t="shared" si="2"/>
        <v>0.83376347635783343</v>
      </c>
      <c r="K38">
        <f>SUM(NorESM!K38:L38)+OsloCTM2!Q38</f>
        <v>-0.38669287345196618</v>
      </c>
      <c r="L38">
        <f>SUM(NorESM!M38:N38)</f>
        <v>0.49982619514581089</v>
      </c>
      <c r="M38">
        <f>NorESM!O38</f>
        <v>0.29082633286003962</v>
      </c>
      <c r="N38">
        <f>NorESM!P38</f>
        <v>0.10981250974614579</v>
      </c>
      <c r="O38" s="1">
        <f t="shared" si="3"/>
        <v>0.51377216430003014</v>
      </c>
      <c r="P38">
        <f>HadGEM3!I38+OsloCTM2!Q38</f>
        <v>-2.4634824732813181</v>
      </c>
      <c r="Q38">
        <f>HadGEM3!J38</f>
        <v>0.78282879041941511</v>
      </c>
      <c r="R38">
        <f>HadGEM3!K38</f>
        <v>0.46901710614708358</v>
      </c>
      <c r="S38">
        <f>HadGEM3!L38</f>
        <v>0.21262255071006922</v>
      </c>
      <c r="T38" s="1">
        <f t="shared" si="4"/>
        <v>-0.9990140260047502</v>
      </c>
      <c r="U38">
        <f>SUM(ECHAM6!G38:H38)</f>
        <v>0</v>
      </c>
      <c r="V38" s="1">
        <f t="shared" si="5"/>
        <v>0</v>
      </c>
      <c r="W38" s="5" t="s">
        <v>76</v>
      </c>
      <c r="X38">
        <f t="shared" si="118"/>
        <v>-0.99986259422752777</v>
      </c>
      <c r="Y38">
        <f t="shared" si="119"/>
        <v>0</v>
      </c>
      <c r="Z38">
        <f t="shared" si="119"/>
        <v>0</v>
      </c>
      <c r="AA38">
        <f t="shared" si="120"/>
        <v>0.74756857348758166</v>
      </c>
      <c r="AB38">
        <f t="shared" si="120"/>
        <v>0.25856251994232404</v>
      </c>
      <c r="AC38">
        <f t="shared" si="120"/>
        <v>0.10990537234865981</v>
      </c>
      <c r="AD38" s="1">
        <f t="shared" si="121"/>
        <v>0.11617387155103774</v>
      </c>
      <c r="AE38">
        <f t="shared" si="122"/>
        <v>-2.4634824732813181</v>
      </c>
      <c r="AF38">
        <f t="shared" si="123"/>
        <v>0</v>
      </c>
      <c r="AG38">
        <f t="shared" si="123"/>
        <v>0</v>
      </c>
      <c r="AH38">
        <f t="shared" si="124"/>
        <v>0.49982619514581089</v>
      </c>
      <c r="AI38">
        <f t="shared" si="124"/>
        <v>1.5844120819848977E-2</v>
      </c>
      <c r="AJ38">
        <f t="shared" si="124"/>
        <v>7.281056589764425E-3</v>
      </c>
      <c r="AK38" s="1">
        <f t="shared" si="125"/>
        <v>-1.9405311007258936</v>
      </c>
      <c r="AL38">
        <f t="shared" si="126"/>
        <v>-0.14941243594929887</v>
      </c>
      <c r="AM38">
        <f t="shared" si="127"/>
        <v>0</v>
      </c>
      <c r="AN38">
        <f t="shared" si="128"/>
        <v>0</v>
      </c>
      <c r="AO38">
        <f t="shared" si="129"/>
        <v>0.96005073489751891</v>
      </c>
      <c r="AP38">
        <f t="shared" si="129"/>
        <v>0.46901710614708358</v>
      </c>
      <c r="AQ38">
        <f t="shared" si="129"/>
        <v>0.21262255071006922</v>
      </c>
      <c r="AR38" s="1">
        <f t="shared" si="130"/>
        <v>1.4922779558053727</v>
      </c>
    </row>
    <row r="39" spans="1:44" x14ac:dyDescent="0.25">
      <c r="A39" t="s">
        <v>35</v>
      </c>
      <c r="B39" t="s">
        <v>128</v>
      </c>
      <c r="C39" t="s">
        <v>134</v>
      </c>
      <c r="D39">
        <f>SUM(OsloCTM2!P39:U39)</f>
        <v>-1.1569044861856492</v>
      </c>
      <c r="E39">
        <f>OsloCTM2!I39</f>
        <v>0</v>
      </c>
      <c r="G39">
        <f>SUM(OsloCTM2!W39:X39)</f>
        <v>1.7304375173921689</v>
      </c>
      <c r="H39">
        <f>OsloCTM2!Y39</f>
        <v>0.77539256609024065</v>
      </c>
      <c r="I39">
        <f>OsloCTM2!Z39</f>
        <v>0.35632631290673966</v>
      </c>
      <c r="J39" s="1">
        <f t="shared" si="2"/>
        <v>1.7052519102035002</v>
      </c>
      <c r="K39">
        <f>SUM(NorESM!K39:L39)+OsloCTM2!Q39</f>
        <v>-1.5135871991501231</v>
      </c>
      <c r="L39">
        <f>SUM(NorESM!M39:N39)</f>
        <v>0.43897501171057829</v>
      </c>
      <c r="M39">
        <f>NorESM!O39</f>
        <v>0.3292842936007514</v>
      </c>
      <c r="N39">
        <f>NorESM!P39</f>
        <v>0.13023525768360439</v>
      </c>
      <c r="O39" s="1">
        <f t="shared" si="3"/>
        <v>-0.61509263615518917</v>
      </c>
      <c r="P39">
        <f>HadGEM3!I39+OsloCTM2!Q39</f>
        <v>0.71317664927221558</v>
      </c>
      <c r="Q39">
        <f>HadGEM3!J39</f>
        <v>0.980989199038375</v>
      </c>
      <c r="R39">
        <f>HadGEM3!K39</f>
        <v>0.37394628374867495</v>
      </c>
      <c r="S39">
        <f>HadGEM3!L39</f>
        <v>0.16952348141916268</v>
      </c>
      <c r="T39" s="1">
        <f t="shared" si="4"/>
        <v>2.2376356134784281</v>
      </c>
      <c r="U39">
        <f>SUM(ECHAM6!G39:H39)</f>
        <v>0</v>
      </c>
      <c r="V39" s="1">
        <f t="shared" si="5"/>
        <v>0</v>
      </c>
      <c r="W39" s="5" t="s">
        <v>76</v>
      </c>
      <c r="X39">
        <f t="shared" si="118"/>
        <v>-0.65243834535451894</v>
      </c>
      <c r="Y39">
        <f t="shared" si="119"/>
        <v>0</v>
      </c>
      <c r="Z39">
        <f t="shared" si="119"/>
        <v>0</v>
      </c>
      <c r="AA39">
        <f t="shared" si="120"/>
        <v>1.0501339093803741</v>
      </c>
      <c r="AB39">
        <f t="shared" si="120"/>
        <v>0.49287438114655568</v>
      </c>
      <c r="AC39">
        <f t="shared" si="120"/>
        <v>0.21869501733650223</v>
      </c>
      <c r="AD39" s="1">
        <f t="shared" si="121"/>
        <v>1.109264962508913</v>
      </c>
      <c r="AE39">
        <f t="shared" si="122"/>
        <v>-1.5135871991501231</v>
      </c>
      <c r="AF39">
        <f t="shared" si="123"/>
        <v>0</v>
      </c>
      <c r="AG39">
        <f t="shared" si="123"/>
        <v>0</v>
      </c>
      <c r="AH39">
        <f t="shared" si="124"/>
        <v>0.43897501171057829</v>
      </c>
      <c r="AI39">
        <f t="shared" si="124"/>
        <v>0.3292842936007514</v>
      </c>
      <c r="AJ39">
        <f t="shared" si="124"/>
        <v>0.13023525768360439</v>
      </c>
      <c r="AK39" s="1">
        <f t="shared" si="125"/>
        <v>-0.61509263615518917</v>
      </c>
      <c r="AL39">
        <f t="shared" si="126"/>
        <v>0.71317664927221558</v>
      </c>
      <c r="AM39">
        <f t="shared" si="127"/>
        <v>0</v>
      </c>
      <c r="AN39">
        <f t="shared" si="128"/>
        <v>0</v>
      </c>
      <c r="AO39">
        <f t="shared" si="129"/>
        <v>1.7304375173921689</v>
      </c>
      <c r="AP39">
        <f t="shared" si="129"/>
        <v>0.77539256609024065</v>
      </c>
      <c r="AQ39">
        <f t="shared" si="129"/>
        <v>0.35632631290673966</v>
      </c>
      <c r="AR39" s="1">
        <f t="shared" si="130"/>
        <v>3.575333045661365</v>
      </c>
    </row>
    <row r="40" spans="1:44" x14ac:dyDescent="0.25">
      <c r="A40" t="s">
        <v>35</v>
      </c>
      <c r="B40" t="s">
        <v>128</v>
      </c>
      <c r="C40" t="s">
        <v>135</v>
      </c>
      <c r="D40">
        <f>SUM(OsloCTM2!P40:U40)</f>
        <v>-1.0090972123474347</v>
      </c>
      <c r="E40">
        <f>OsloCTM2!I40</f>
        <v>0</v>
      </c>
      <c r="G40">
        <f>SUM(OsloCTM2!W40:X40)</f>
        <v>1.4959763795078407</v>
      </c>
      <c r="H40">
        <f>OsloCTM2!Y40</f>
        <v>0.74258403444325949</v>
      </c>
      <c r="I40">
        <f>OsloCTM2!Z40</f>
        <v>0.34124937817082895</v>
      </c>
      <c r="J40" s="1">
        <f t="shared" si="2"/>
        <v>1.5707125797744945</v>
      </c>
      <c r="K40">
        <f>SUM(NorESM!K40:L40)+OsloCTM2!Q40</f>
        <v>-1.5841891323726602</v>
      </c>
      <c r="L40">
        <f>SUM(NorESM!M40:N40)</f>
        <v>0.31192174278341234</v>
      </c>
      <c r="M40">
        <f>NorESM!O40</f>
        <v>0.41749504891076034</v>
      </c>
      <c r="N40">
        <f>NorESM!P40</f>
        <v>0.15764108661213974</v>
      </c>
      <c r="O40" s="1">
        <f t="shared" si="3"/>
        <v>-0.69713125406634779</v>
      </c>
      <c r="P40">
        <f>HadGEM3!I40+OsloCTM2!Q40</f>
        <v>0.95605493658847451</v>
      </c>
      <c r="Q40">
        <f>HadGEM3!J40</f>
        <v>0.91375089788665831</v>
      </c>
      <c r="R40">
        <f>HadGEM3!K40</f>
        <v>0.54689011710332291</v>
      </c>
      <c r="S40">
        <f>HadGEM3!L40</f>
        <v>0.24792522518394297</v>
      </c>
      <c r="T40" s="1">
        <f t="shared" si="4"/>
        <v>2.6646211767623988</v>
      </c>
      <c r="U40">
        <f>SUM(ECHAM6!G40:H40)</f>
        <v>0</v>
      </c>
      <c r="V40" s="1">
        <f t="shared" si="5"/>
        <v>0</v>
      </c>
      <c r="W40" s="5" t="s">
        <v>76</v>
      </c>
      <c r="X40">
        <f t="shared" si="118"/>
        <v>-0.54574380271054024</v>
      </c>
      <c r="Y40">
        <f t="shared" si="119"/>
        <v>0</v>
      </c>
      <c r="Z40">
        <f t="shared" si="119"/>
        <v>0</v>
      </c>
      <c r="AA40">
        <f t="shared" si="120"/>
        <v>0.90721634005930374</v>
      </c>
      <c r="AB40">
        <f t="shared" si="120"/>
        <v>0.56898973348578086</v>
      </c>
      <c r="AC40">
        <f t="shared" si="120"/>
        <v>0.24893856332230391</v>
      </c>
      <c r="AD40" s="1">
        <f t="shared" si="121"/>
        <v>1.1794008341568483</v>
      </c>
      <c r="AE40">
        <f t="shared" si="122"/>
        <v>-1.5841891323726602</v>
      </c>
      <c r="AF40">
        <f t="shared" si="123"/>
        <v>0</v>
      </c>
      <c r="AG40">
        <f t="shared" si="123"/>
        <v>0</v>
      </c>
      <c r="AH40">
        <f t="shared" si="124"/>
        <v>0.31192174278341234</v>
      </c>
      <c r="AI40">
        <f t="shared" si="124"/>
        <v>0.41749504891076034</v>
      </c>
      <c r="AJ40">
        <f t="shared" si="124"/>
        <v>0.15764108661213974</v>
      </c>
      <c r="AK40" s="1">
        <f t="shared" si="125"/>
        <v>-0.69713125406634779</v>
      </c>
      <c r="AL40">
        <f t="shared" si="126"/>
        <v>0.95605493658847451</v>
      </c>
      <c r="AM40">
        <f t="shared" si="127"/>
        <v>0</v>
      </c>
      <c r="AN40">
        <f t="shared" si="128"/>
        <v>0</v>
      </c>
      <c r="AO40">
        <f t="shared" si="129"/>
        <v>1.4959763795078407</v>
      </c>
      <c r="AP40">
        <f t="shared" si="129"/>
        <v>0.74258403444325949</v>
      </c>
      <c r="AQ40">
        <f t="shared" si="129"/>
        <v>0.34124937817082895</v>
      </c>
      <c r="AR40" s="1">
        <f t="shared" si="130"/>
        <v>3.5358647287104037</v>
      </c>
    </row>
    <row r="41" spans="1:44" x14ac:dyDescent="0.25">
      <c r="A41" t="s">
        <v>35</v>
      </c>
      <c r="B41" t="s">
        <v>128</v>
      </c>
      <c r="C41" t="s">
        <v>32</v>
      </c>
      <c r="D41">
        <f>SUM(OsloCTM2!P41:U41)</f>
        <v>1.9650286421911412E-3</v>
      </c>
      <c r="E41">
        <f>OsloCTM2!I41</f>
        <v>0</v>
      </c>
      <c r="G41">
        <f>SUM(OsloCTM2!W41:X41)</f>
        <v>1.4636980477855479</v>
      </c>
      <c r="H41">
        <f>OsloCTM2!Y41</f>
        <v>1.2325174825174827</v>
      </c>
      <c r="I41">
        <f>OsloCTM2!Z41</f>
        <v>0.56639491961216415</v>
      </c>
      <c r="J41" s="1">
        <f t="shared" si="2"/>
        <v>3.2645754785573855</v>
      </c>
      <c r="K41">
        <f>SUM(NorESM!K41:L41)</f>
        <v>0</v>
      </c>
      <c r="L41">
        <f>SUM(NorESM!M41:N41)</f>
        <v>0</v>
      </c>
      <c r="M41">
        <f>NorESM!O41</f>
        <v>0</v>
      </c>
      <c r="N41">
        <f>NorESM!P41</f>
        <v>0</v>
      </c>
      <c r="O41" s="1">
        <f t="shared" si="3"/>
        <v>0</v>
      </c>
      <c r="P41">
        <f>HadGEM3!I41</f>
        <v>0</v>
      </c>
      <c r="Q41">
        <f>HadGEM3!J41</f>
        <v>0</v>
      </c>
      <c r="R41">
        <f>HadGEM3!K41</f>
        <v>0</v>
      </c>
      <c r="S41">
        <f>HadGEM3!L41</f>
        <v>0</v>
      </c>
      <c r="T41" s="1">
        <f t="shared" si="4"/>
        <v>0</v>
      </c>
      <c r="U41">
        <f>SUM(ECHAM6!G41:H41)</f>
        <v>0</v>
      </c>
      <c r="V41" s="1">
        <f t="shared" si="5"/>
        <v>0</v>
      </c>
    </row>
    <row r="42" spans="1:44" x14ac:dyDescent="0.25">
      <c r="A42" t="s">
        <v>35</v>
      </c>
      <c r="B42" t="s">
        <v>128</v>
      </c>
      <c r="C42" t="s">
        <v>33</v>
      </c>
      <c r="D42">
        <f>SUM(OsloCTM2!P42:U42)</f>
        <v>-1.8577140272835121E-2</v>
      </c>
      <c r="E42">
        <f>OsloCTM2!I42</f>
        <v>0</v>
      </c>
      <c r="G42">
        <f>SUM(OsloCTM2!W42:X42)</f>
        <v>1.470513196915777</v>
      </c>
      <c r="H42">
        <f>OsloCTM2!Y42</f>
        <v>0.97568208778173193</v>
      </c>
      <c r="I42">
        <f>OsloCTM2!Z42</f>
        <v>0.44836798302236158</v>
      </c>
      <c r="J42" s="1">
        <f t="shared" si="2"/>
        <v>2.8759861274470353</v>
      </c>
      <c r="K42">
        <f>SUM(NorESM!K42:L42)</f>
        <v>0</v>
      </c>
      <c r="L42">
        <f>SUM(NorESM!M42:N42)</f>
        <v>0</v>
      </c>
      <c r="M42">
        <f>NorESM!O42</f>
        <v>0</v>
      </c>
      <c r="N42">
        <f>NorESM!P42</f>
        <v>0</v>
      </c>
      <c r="O42" s="1">
        <f t="shared" si="3"/>
        <v>0</v>
      </c>
      <c r="P42">
        <f>HadGEM3!I42</f>
        <v>0</v>
      </c>
      <c r="Q42">
        <f>HadGEM3!J42</f>
        <v>0</v>
      </c>
      <c r="R42">
        <f>HadGEM3!K42</f>
        <v>0</v>
      </c>
      <c r="S42">
        <f>HadGEM3!L42</f>
        <v>0</v>
      </c>
      <c r="T42" s="1">
        <f t="shared" si="4"/>
        <v>0</v>
      </c>
      <c r="U42">
        <f>SUM(ECHAM6!G42:H42)</f>
        <v>0</v>
      </c>
      <c r="V42" s="1">
        <f t="shared" si="5"/>
        <v>0</v>
      </c>
    </row>
    <row r="43" spans="1:44" x14ac:dyDescent="0.25">
      <c r="A43" t="s">
        <v>35</v>
      </c>
      <c r="B43" t="s">
        <v>128</v>
      </c>
      <c r="C43" t="s">
        <v>28</v>
      </c>
      <c r="D43">
        <f>SUM(OsloCTM2!P43:U43)</f>
        <v>-0.97095800721384129</v>
      </c>
      <c r="E43">
        <f>OsloCTM2!I43</f>
        <v>0</v>
      </c>
      <c r="G43">
        <f>SUM(OsloCTM2!W43:X43)</f>
        <v>1.593294794659962</v>
      </c>
      <c r="H43">
        <f>OsloCTM2!Y43</f>
        <v>0.68232159961685834</v>
      </c>
      <c r="I43">
        <f>OsloCTM2!Z43</f>
        <v>0.31355619132903612</v>
      </c>
      <c r="J43" s="1">
        <f t="shared" ref="J43:J44" si="131">SUM(D43:I43)</f>
        <v>1.6182145783920152</v>
      </c>
      <c r="K43">
        <f>SUM(NorESM!K43:L43)+OsloCTM2!Q43</f>
        <v>-1.4001134018538757</v>
      </c>
      <c r="L43">
        <f>SUM(NorESM!M43:N43)</f>
        <v>0.4897519209319996</v>
      </c>
      <c r="M43">
        <f>NorESM!O43</f>
        <v>0.31887532276829217</v>
      </c>
      <c r="N43">
        <f>NorESM!P43</f>
        <v>0.12611840478496569</v>
      </c>
      <c r="O43" s="1">
        <f t="shared" ref="O43:O44" si="132">SUM(K43:N43)</f>
        <v>-0.46536775336861824</v>
      </c>
      <c r="P43">
        <f>HadGEM3!I43+OsloCTM2!Q43</f>
        <v>0.65315181436991165</v>
      </c>
      <c r="Q43">
        <f>HadGEM3!J43</f>
        <v>0.98511368700977053</v>
      </c>
      <c r="R43">
        <f>HadGEM3!K43</f>
        <v>0.37166630448018667</v>
      </c>
      <c r="S43">
        <f>HadGEM3!L43</f>
        <v>0.16848988370752607</v>
      </c>
      <c r="T43" s="1">
        <f t="shared" ref="T43:T44" si="133">SUM(P43:S43)</f>
        <v>2.1784216895673949</v>
      </c>
      <c r="U43">
        <f>SUM(ECHAM6!G43:H43)</f>
        <v>0</v>
      </c>
      <c r="V43" s="1">
        <f t="shared" ref="V43:V44" si="134">SUM(U43)</f>
        <v>0</v>
      </c>
      <c r="W43" s="5" t="s">
        <v>76</v>
      </c>
      <c r="X43">
        <f t="shared" ref="X43:X44" si="135">AVERAGE(D43,K43,P43)</f>
        <v>-0.57263986489926844</v>
      </c>
      <c r="Y43">
        <f t="shared" ref="Y43:Y44" si="136">E43</f>
        <v>0</v>
      </c>
      <c r="Z43">
        <f t="shared" ref="Z43:Z44" si="137">F43</f>
        <v>0</v>
      </c>
      <c r="AA43">
        <f t="shared" ref="AA43:AA44" si="138">AVERAGE(G43,L43,Q43)</f>
        <v>1.0227201342005774</v>
      </c>
      <c r="AB43">
        <f t="shared" ref="AB43:AB44" si="139">AVERAGE(H43,M43,R43)</f>
        <v>0.45762107562177906</v>
      </c>
      <c r="AC43">
        <f t="shared" ref="AC43:AC44" si="140">AVERAGE(I43,N43,S43)</f>
        <v>0.20272149327384262</v>
      </c>
      <c r="AD43" s="1">
        <f t="shared" ref="AD43:AD44" si="141">SUM(X43:AC43)</f>
        <v>1.1104228381969306</v>
      </c>
      <c r="AE43">
        <f t="shared" ref="AE43:AE44" si="142">MIN(D43,K43,P43)</f>
        <v>-1.4001134018538757</v>
      </c>
      <c r="AF43">
        <f t="shared" ref="AF43:AF44" si="143">Y43</f>
        <v>0</v>
      </c>
      <c r="AG43">
        <f t="shared" ref="AG43:AG44" si="144">Z43</f>
        <v>0</v>
      </c>
      <c r="AH43">
        <f t="shared" ref="AH43:AH44" si="145">MIN(G43,L43,Q43)</f>
        <v>0.4897519209319996</v>
      </c>
      <c r="AI43">
        <f t="shared" ref="AI43:AI44" si="146">MIN(H43,M43,R43)</f>
        <v>0.31887532276829217</v>
      </c>
      <c r="AJ43">
        <f t="shared" ref="AJ43:AJ44" si="147">MIN(I43,N43,S43)</f>
        <v>0.12611840478496569</v>
      </c>
      <c r="AK43" s="1">
        <f t="shared" ref="AK43:AK44" si="148">SUM(AE43:AJ43)</f>
        <v>-0.46536775336861824</v>
      </c>
      <c r="AL43">
        <f t="shared" ref="AL43:AL44" si="149">MAX(D43,K43,P43)</f>
        <v>0.65315181436991165</v>
      </c>
      <c r="AM43">
        <f t="shared" ref="AM43:AM44" si="150">AF43</f>
        <v>0</v>
      </c>
      <c r="AN43">
        <f t="shared" ref="AN43:AN44" si="151">Z43</f>
        <v>0</v>
      </c>
      <c r="AO43">
        <f t="shared" ref="AO43:AO44" si="152">MAX(G43,L43,Q43)</f>
        <v>1.593294794659962</v>
      </c>
      <c r="AP43">
        <f t="shared" ref="AP43:AP44" si="153">MAX(H43,M43,R43)</f>
        <v>0.68232159961685834</v>
      </c>
      <c r="AQ43">
        <f t="shared" ref="AQ43:AQ44" si="154">MAX(I43,N43,S43)</f>
        <v>0.31355619132903612</v>
      </c>
      <c r="AR43" s="1">
        <f t="shared" ref="AR43:AR44" si="155">SUM(AL43:AQ43)</f>
        <v>3.242324399975768</v>
      </c>
    </row>
    <row r="44" spans="1:44" x14ac:dyDescent="0.25">
      <c r="A44" t="s">
        <v>35</v>
      </c>
      <c r="B44" t="s">
        <v>128</v>
      </c>
      <c r="C44" t="s">
        <v>29</v>
      </c>
      <c r="D44">
        <f>SUM(OsloCTM2!P44:U44)</f>
        <v>-0.78661244268148689</v>
      </c>
      <c r="E44">
        <f>OsloCTM2!I44</f>
        <v>0</v>
      </c>
      <c r="G44">
        <f>SUM(OsloCTM2!W44:X44)</f>
        <v>1.3157476425716377</v>
      </c>
      <c r="H44">
        <f>OsloCTM2!Y44</f>
        <v>0.54572707312953905</v>
      </c>
      <c r="I44">
        <f>OsloCTM2!Z44</f>
        <v>0.25078511753361887</v>
      </c>
      <c r="J44" s="1">
        <f t="shared" si="131"/>
        <v>1.3256473905533088</v>
      </c>
      <c r="K44">
        <f>SUM(NorESM!K44:L44)+OsloCTM2!Q44</f>
        <v>-1.3024535998325719</v>
      </c>
      <c r="L44">
        <f>SUM(NorESM!M44:N44)</f>
        <v>0.33858447429065996</v>
      </c>
      <c r="M44">
        <f>NorESM!O44</f>
        <v>0.38877770213602703</v>
      </c>
      <c r="N44">
        <f>NorESM!P44</f>
        <v>0.14679776341106809</v>
      </c>
      <c r="O44" s="1">
        <f t="shared" si="132"/>
        <v>-0.42829365999481683</v>
      </c>
      <c r="P44">
        <f>HadGEM3!I44+OsloCTM2!Q44</f>
        <v>0.20819750540452114</v>
      </c>
      <c r="Q44">
        <f>HadGEM3!J44</f>
        <v>0.89437483318298383</v>
      </c>
      <c r="R44">
        <f>HadGEM3!K44</f>
        <v>0.52566239008913407</v>
      </c>
      <c r="S44">
        <f>HadGEM3!L44</f>
        <v>0.23830192274064477</v>
      </c>
      <c r="T44" s="1">
        <f t="shared" si="133"/>
        <v>1.8665366514172836</v>
      </c>
      <c r="U44">
        <f>SUM(ECHAM6!G44:H44)</f>
        <v>0</v>
      </c>
      <c r="V44" s="1">
        <f t="shared" si="134"/>
        <v>0</v>
      </c>
      <c r="W44" s="5" t="s">
        <v>76</v>
      </c>
      <c r="X44">
        <f t="shared" si="135"/>
        <v>-0.62695617903651257</v>
      </c>
      <c r="Y44">
        <f t="shared" si="136"/>
        <v>0</v>
      </c>
      <c r="Z44">
        <f t="shared" si="137"/>
        <v>0</v>
      </c>
      <c r="AA44">
        <f t="shared" si="138"/>
        <v>0.84956898334842723</v>
      </c>
      <c r="AB44">
        <f t="shared" si="139"/>
        <v>0.48672238845156673</v>
      </c>
      <c r="AC44">
        <f t="shared" si="140"/>
        <v>0.2119616012284439</v>
      </c>
      <c r="AD44" s="1">
        <f t="shared" si="141"/>
        <v>0.92129679399192532</v>
      </c>
      <c r="AE44">
        <f t="shared" si="142"/>
        <v>-1.3024535998325719</v>
      </c>
      <c r="AF44">
        <f t="shared" si="143"/>
        <v>0</v>
      </c>
      <c r="AG44">
        <f t="shared" si="144"/>
        <v>0</v>
      </c>
      <c r="AH44">
        <f t="shared" si="145"/>
        <v>0.33858447429065996</v>
      </c>
      <c r="AI44">
        <f t="shared" si="146"/>
        <v>0.38877770213602703</v>
      </c>
      <c r="AJ44">
        <f t="shared" si="147"/>
        <v>0.14679776341106809</v>
      </c>
      <c r="AK44" s="1">
        <f t="shared" si="148"/>
        <v>-0.42829365999481683</v>
      </c>
      <c r="AL44">
        <f t="shared" si="149"/>
        <v>0.20819750540452114</v>
      </c>
      <c r="AM44">
        <f t="shared" si="150"/>
        <v>0</v>
      </c>
      <c r="AN44">
        <f t="shared" si="151"/>
        <v>0</v>
      </c>
      <c r="AO44">
        <f t="shared" si="152"/>
        <v>1.3157476425716377</v>
      </c>
      <c r="AP44">
        <f t="shared" si="153"/>
        <v>0.54572707312953905</v>
      </c>
      <c r="AQ44">
        <f t="shared" si="154"/>
        <v>0.25078511753361887</v>
      </c>
      <c r="AR44" s="1">
        <f t="shared" si="155"/>
        <v>2.3204573386393168</v>
      </c>
    </row>
    <row r="45" spans="1:44" x14ac:dyDescent="0.25">
      <c r="A45" t="s">
        <v>37</v>
      </c>
      <c r="B45" t="s">
        <v>128</v>
      </c>
      <c r="C45" t="s">
        <v>24</v>
      </c>
      <c r="D45">
        <f>SUM(OsloCTM2!P45:U45)</f>
        <v>41.343490000000003</v>
      </c>
      <c r="E45">
        <f>OsloCTM2!V45</f>
        <v>4.5189000000000006E-7</v>
      </c>
      <c r="F45">
        <v>-19.319545664093539</v>
      </c>
      <c r="G45">
        <f>SUM(OsloCTM2!W45:X45)</f>
        <v>0</v>
      </c>
      <c r="H45">
        <f>OsloCTM2!Y45</f>
        <v>0</v>
      </c>
      <c r="I45">
        <f>OsloCTM2!Z45</f>
        <v>0</v>
      </c>
      <c r="J45" s="1">
        <f t="shared" si="2"/>
        <v>22.023944787796466</v>
      </c>
      <c r="K45">
        <f>SUM(NorESM!K45:L45)</f>
        <v>50.004593217139629</v>
      </c>
      <c r="L45">
        <f>SUM(NorESM!M45:N45)</f>
        <v>0</v>
      </c>
      <c r="M45">
        <f>NorESM!O45</f>
        <v>0</v>
      </c>
      <c r="N45">
        <f>NorESM!P45</f>
        <v>0</v>
      </c>
      <c r="O45" s="1">
        <f t="shared" si="3"/>
        <v>50.004593217139629</v>
      </c>
      <c r="P45">
        <f>HadGEM3!I45</f>
        <v>63.478691457414854</v>
      </c>
      <c r="Q45">
        <f>HadGEM3!J45</f>
        <v>0</v>
      </c>
      <c r="R45">
        <f>HadGEM3!K45</f>
        <v>0</v>
      </c>
      <c r="S45">
        <f>HadGEM3!L45</f>
        <v>0</v>
      </c>
      <c r="T45" s="1">
        <f t="shared" si="4"/>
        <v>63.478691457414854</v>
      </c>
      <c r="U45">
        <f>SUM(ECHAM6!G45:H45)</f>
        <v>27.977674567584881</v>
      </c>
      <c r="V45" s="1">
        <f t="shared" si="5"/>
        <v>27.977674567584881</v>
      </c>
      <c r="W45" s="5" t="s">
        <v>76</v>
      </c>
      <c r="X45">
        <f>AVERAGE(D45,K45,P45)</f>
        <v>51.608924891518164</v>
      </c>
      <c r="Y45">
        <f t="shared" ref="Y45:Z60" si="156">E45</f>
        <v>4.5189000000000006E-7</v>
      </c>
      <c r="Z45">
        <f t="shared" si="156"/>
        <v>-19.319545664093539</v>
      </c>
      <c r="AA45">
        <f>AVERAGE(G45,L45,Q45)</f>
        <v>0</v>
      </c>
      <c r="AB45">
        <f>AVERAGE(H45,M45,R45)</f>
        <v>0</v>
      </c>
      <c r="AC45">
        <f>AVERAGE(I45,N45,S45)</f>
        <v>0</v>
      </c>
      <c r="AD45" s="1">
        <f>SUM(X45:AC45)</f>
        <v>32.289379679314628</v>
      </c>
      <c r="AE45">
        <f>MIN(D45,K45,P45)</f>
        <v>41.343490000000003</v>
      </c>
      <c r="AF45">
        <f t="shared" ref="AF45:AG60" si="157">Y45</f>
        <v>4.5189000000000006E-7</v>
      </c>
      <c r="AG45">
        <f t="shared" si="157"/>
        <v>-19.319545664093539</v>
      </c>
      <c r="AH45">
        <f>MIN(G45,L45,Q45)</f>
        <v>0</v>
      </c>
      <c r="AI45">
        <f>MIN(H45,M45,R45)</f>
        <v>0</v>
      </c>
      <c r="AJ45">
        <f>MIN(I45,N45,S45)</f>
        <v>0</v>
      </c>
      <c r="AK45" s="1">
        <f t="shared" ref="AK45:AK50" si="158">SUM(AE45:AJ45)</f>
        <v>22.023944787796466</v>
      </c>
      <c r="AL45">
        <f>MAX(D45,K45,P45)</f>
        <v>63.478691457414854</v>
      </c>
      <c r="AM45">
        <f t="shared" ref="AM45:AM50" si="159">AF45</f>
        <v>4.5189000000000006E-7</v>
      </c>
      <c r="AN45">
        <f t="shared" ref="AN45:AN60" si="160">Z45</f>
        <v>-19.319545664093539</v>
      </c>
      <c r="AO45">
        <f>MAX(G45,L45,Q45)</f>
        <v>0</v>
      </c>
      <c r="AP45">
        <f>MAX(H45,M45,R45)</f>
        <v>0</v>
      </c>
      <c r="AQ45">
        <f>MAX(I45,N45,S45)</f>
        <v>0</v>
      </c>
      <c r="AR45" s="1">
        <f t="shared" ref="AR45:AR50" si="161">SUM(AL45:AQ45)</f>
        <v>44.159146245211318</v>
      </c>
    </row>
    <row r="46" spans="1:44" x14ac:dyDescent="0.25">
      <c r="A46" t="s">
        <v>37</v>
      </c>
      <c r="B46" t="s">
        <v>128</v>
      </c>
      <c r="C46" t="s">
        <v>25</v>
      </c>
      <c r="D46">
        <f>SUM(OsloCTM2!P46:U46)</f>
        <v>10.651961702127661</v>
      </c>
      <c r="E46">
        <f>OsloCTM2!V46</f>
        <v>8.5224893617021264E-4</v>
      </c>
      <c r="F46">
        <v>-1.0241078133027706</v>
      </c>
      <c r="G46">
        <f>SUM(OsloCTM2!W46:X46)</f>
        <v>0</v>
      </c>
      <c r="H46">
        <f>OsloCTM2!Y46</f>
        <v>0</v>
      </c>
      <c r="I46">
        <f>OsloCTM2!Z46</f>
        <v>0</v>
      </c>
      <c r="J46" s="1">
        <f t="shared" si="2"/>
        <v>9.6287061377610605</v>
      </c>
      <c r="K46">
        <f>SUM(NorESM!K46:L46)</f>
        <v>9.6518338795059222</v>
      </c>
      <c r="L46">
        <f>SUM(NorESM!M46:N46)</f>
        <v>0</v>
      </c>
      <c r="M46">
        <f>NorESM!O46</f>
        <v>0</v>
      </c>
      <c r="N46">
        <f>NorESM!P46</f>
        <v>0</v>
      </c>
      <c r="O46" s="1">
        <f t="shared" si="3"/>
        <v>9.6518338795059222</v>
      </c>
      <c r="P46">
        <f>HadGEM3!I46</f>
        <v>37.511827868515248</v>
      </c>
      <c r="Q46">
        <f>HadGEM3!J46</f>
        <v>0</v>
      </c>
      <c r="R46">
        <f>HadGEM3!K46</f>
        <v>0</v>
      </c>
      <c r="S46">
        <f>HadGEM3!L46</f>
        <v>0</v>
      </c>
      <c r="T46" s="1">
        <f t="shared" si="4"/>
        <v>37.511827868515248</v>
      </c>
      <c r="U46">
        <f>SUM(ECHAM6!G46:H46)</f>
        <v>9.2005091039399947</v>
      </c>
      <c r="V46" s="1">
        <f t="shared" si="5"/>
        <v>9.2005091039399947</v>
      </c>
      <c r="W46" s="5" t="s">
        <v>76</v>
      </c>
      <c r="X46">
        <f>AVERAGE(D46,K46,P46)</f>
        <v>19.271874483382945</v>
      </c>
      <c r="Y46">
        <f t="shared" si="156"/>
        <v>8.5224893617021264E-4</v>
      </c>
      <c r="Z46">
        <f t="shared" si="156"/>
        <v>-1.0241078133027706</v>
      </c>
      <c r="AA46">
        <f t="shared" ref="AA46:AC50" si="162">AVERAGE(G46,L46,Q46)</f>
        <v>0</v>
      </c>
      <c r="AB46">
        <f t="shared" si="162"/>
        <v>0</v>
      </c>
      <c r="AC46">
        <f t="shared" si="162"/>
        <v>0</v>
      </c>
      <c r="AD46" s="1">
        <f t="shared" ref="AD46:AD50" si="163">SUM(X46:AC46)</f>
        <v>18.248618919016344</v>
      </c>
      <c r="AE46">
        <f>MIN(D46,K46,P46)</f>
        <v>9.6518338795059222</v>
      </c>
      <c r="AF46">
        <f t="shared" si="157"/>
        <v>8.5224893617021264E-4</v>
      </c>
      <c r="AG46">
        <f t="shared" si="157"/>
        <v>-1.0241078133027706</v>
      </c>
      <c r="AH46">
        <f t="shared" ref="AH46:AJ50" si="164">MIN(G46,L46,Q46)</f>
        <v>0</v>
      </c>
      <c r="AI46">
        <f t="shared" si="164"/>
        <v>0</v>
      </c>
      <c r="AJ46">
        <f t="shared" si="164"/>
        <v>0</v>
      </c>
      <c r="AK46" s="1">
        <f t="shared" si="158"/>
        <v>8.6285783151393218</v>
      </c>
      <c r="AL46">
        <f>MAX(D46,K46,P46)</f>
        <v>37.511827868515248</v>
      </c>
      <c r="AM46">
        <f t="shared" si="159"/>
        <v>8.5224893617021264E-4</v>
      </c>
      <c r="AN46">
        <f t="shared" si="160"/>
        <v>-1.0241078133027706</v>
      </c>
      <c r="AO46">
        <f t="shared" ref="AO46:AQ50" si="165">MAX(G46,L46,Q46)</f>
        <v>0</v>
      </c>
      <c r="AP46">
        <f t="shared" si="165"/>
        <v>0</v>
      </c>
      <c r="AQ46">
        <f t="shared" si="165"/>
        <v>0</v>
      </c>
      <c r="AR46" s="1">
        <f t="shared" si="161"/>
        <v>36.488572304148647</v>
      </c>
    </row>
    <row r="47" spans="1:44" x14ac:dyDescent="0.25">
      <c r="A47" t="s">
        <v>37</v>
      </c>
      <c r="B47" t="s">
        <v>128</v>
      </c>
      <c r="C47" t="s">
        <v>26</v>
      </c>
      <c r="D47">
        <f>SUM(OsloCTM2!P47:U47)</f>
        <v>37.735772727272725</v>
      </c>
      <c r="E47">
        <f>OsloCTM2!V47</f>
        <v>6.9322727272727278E-7</v>
      </c>
      <c r="F47">
        <v>-22.363078760995865</v>
      </c>
      <c r="G47">
        <f>SUM(OsloCTM2!W47:X47)</f>
        <v>0</v>
      </c>
      <c r="H47">
        <f>OsloCTM2!Y47</f>
        <v>0</v>
      </c>
      <c r="I47">
        <f>OsloCTM2!Z47</f>
        <v>0</v>
      </c>
      <c r="J47" s="1">
        <f t="shared" si="2"/>
        <v>15.37269465950413</v>
      </c>
      <c r="K47">
        <f>SUM(NorESM!K47:L47)</f>
        <v>71.847202295552364</v>
      </c>
      <c r="L47">
        <f>SUM(NorESM!M47:N47)</f>
        <v>0</v>
      </c>
      <c r="M47">
        <f>NorESM!O47</f>
        <v>0</v>
      </c>
      <c r="N47">
        <f>NorESM!P47</f>
        <v>0</v>
      </c>
      <c r="O47" s="1">
        <f t="shared" si="3"/>
        <v>71.847202295552364</v>
      </c>
      <c r="P47">
        <f>HadGEM3!I47</f>
        <v>32.478796665458503</v>
      </c>
      <c r="Q47">
        <f>HadGEM3!J47</f>
        <v>0</v>
      </c>
      <c r="R47">
        <f>HadGEM3!K47</f>
        <v>0</v>
      </c>
      <c r="S47">
        <f>HadGEM3!L47</f>
        <v>0</v>
      </c>
      <c r="T47" s="1">
        <f t="shared" si="4"/>
        <v>32.478796665458503</v>
      </c>
      <c r="U47">
        <f>SUM(ECHAM6!G47:H47)</f>
        <v>4.2380500673044779</v>
      </c>
      <c r="V47" s="1">
        <f t="shared" si="5"/>
        <v>4.2380500673044779</v>
      </c>
      <c r="W47" s="5" t="s">
        <v>76</v>
      </c>
      <c r="X47">
        <f>AVERAGE(D47,K47,P47)</f>
        <v>47.353923896094528</v>
      </c>
      <c r="Y47">
        <f t="shared" si="156"/>
        <v>6.9322727272727278E-7</v>
      </c>
      <c r="Z47">
        <f t="shared" si="156"/>
        <v>-22.363078760995865</v>
      </c>
      <c r="AA47">
        <f t="shared" si="162"/>
        <v>0</v>
      </c>
      <c r="AB47">
        <f t="shared" si="162"/>
        <v>0</v>
      </c>
      <c r="AC47">
        <f t="shared" si="162"/>
        <v>0</v>
      </c>
      <c r="AD47" s="1">
        <f t="shared" si="163"/>
        <v>24.990845828325934</v>
      </c>
      <c r="AE47">
        <f>MIN(D47,K47,P47)</f>
        <v>32.478796665458503</v>
      </c>
      <c r="AF47">
        <f t="shared" si="157"/>
        <v>6.9322727272727278E-7</v>
      </c>
      <c r="AG47">
        <f t="shared" si="157"/>
        <v>-22.363078760995865</v>
      </c>
      <c r="AH47">
        <f t="shared" si="164"/>
        <v>0</v>
      </c>
      <c r="AI47">
        <f t="shared" si="164"/>
        <v>0</v>
      </c>
      <c r="AJ47">
        <f t="shared" si="164"/>
        <v>0</v>
      </c>
      <c r="AK47" s="1">
        <f t="shared" si="158"/>
        <v>10.115718597689909</v>
      </c>
      <c r="AL47">
        <f>MAX(D47,K47,P47)</f>
        <v>71.847202295552364</v>
      </c>
      <c r="AM47">
        <f t="shared" si="159"/>
        <v>6.9322727272727278E-7</v>
      </c>
      <c r="AN47">
        <f t="shared" si="160"/>
        <v>-22.363078760995865</v>
      </c>
      <c r="AO47">
        <f t="shared" si="165"/>
        <v>0</v>
      </c>
      <c r="AP47">
        <f t="shared" si="165"/>
        <v>0</v>
      </c>
      <c r="AQ47">
        <f t="shared" si="165"/>
        <v>0</v>
      </c>
      <c r="AR47" s="1">
        <f t="shared" si="161"/>
        <v>49.484124227783781</v>
      </c>
    </row>
    <row r="48" spans="1:44" x14ac:dyDescent="0.25">
      <c r="A48" t="s">
        <v>37</v>
      </c>
      <c r="B48" t="s">
        <v>128</v>
      </c>
      <c r="C48" t="s">
        <v>27</v>
      </c>
      <c r="D48">
        <f>SUM(OsloCTM2!P48:U48)</f>
        <v>10.306282485875707</v>
      </c>
      <c r="E48">
        <f>OsloCTM2!V48</f>
        <v>2.4440790960451979E-2</v>
      </c>
      <c r="F48">
        <v>0.43537738641571161</v>
      </c>
      <c r="G48">
        <f>SUM(OsloCTM2!W48:X48)</f>
        <v>0</v>
      </c>
      <c r="H48">
        <f>OsloCTM2!Y48</f>
        <v>0</v>
      </c>
      <c r="I48">
        <f>OsloCTM2!Z48</f>
        <v>0</v>
      </c>
      <c r="J48" s="1">
        <f t="shared" si="2"/>
        <v>10.766100663251869</v>
      </c>
      <c r="K48">
        <f>SUM(NorESM!K48:L48)</f>
        <v>21.096499926753136</v>
      </c>
      <c r="L48">
        <f>SUM(NorESM!M48:N48)</f>
        <v>0</v>
      </c>
      <c r="M48">
        <f>NorESM!O48</f>
        <v>0</v>
      </c>
      <c r="N48">
        <f>NorESM!P48</f>
        <v>0</v>
      </c>
      <c r="O48" s="1">
        <f t="shared" si="3"/>
        <v>21.096499926753136</v>
      </c>
      <c r="P48">
        <f>HadGEM3!I48</f>
        <v>-18.44418863175952</v>
      </c>
      <c r="Q48">
        <f>HadGEM3!J48</f>
        <v>0</v>
      </c>
      <c r="R48">
        <f>HadGEM3!K48</f>
        <v>0</v>
      </c>
      <c r="S48">
        <f>HadGEM3!L48</f>
        <v>0</v>
      </c>
      <c r="T48" s="1">
        <f t="shared" si="4"/>
        <v>-18.44418863175952</v>
      </c>
      <c r="U48">
        <f>SUM(ECHAM6!G48:H48)</f>
        <v>6.5811758329851973</v>
      </c>
      <c r="V48" s="1">
        <f t="shared" si="5"/>
        <v>6.5811758329851973</v>
      </c>
      <c r="W48" s="5" t="s">
        <v>76</v>
      </c>
      <c r="X48">
        <f>AVERAGE(D48,K48,P48)</f>
        <v>4.3195312602897751</v>
      </c>
      <c r="Y48">
        <f t="shared" si="156"/>
        <v>2.4440790960451979E-2</v>
      </c>
      <c r="Z48">
        <f t="shared" si="156"/>
        <v>0.43537738641571161</v>
      </c>
      <c r="AA48">
        <f>AVERAGE(G48,L48)</f>
        <v>0</v>
      </c>
      <c r="AB48">
        <f>AVERAGE(H48,M48)</f>
        <v>0</v>
      </c>
      <c r="AC48">
        <f>AVERAGE(I48,N48)</f>
        <v>0</v>
      </c>
      <c r="AD48" s="1">
        <f t="shared" si="163"/>
        <v>4.7793494376659389</v>
      </c>
      <c r="AE48">
        <f>MIN(D48,K48,P48)</f>
        <v>-18.44418863175952</v>
      </c>
      <c r="AF48">
        <f t="shared" si="157"/>
        <v>2.4440790960451979E-2</v>
      </c>
      <c r="AG48">
        <f t="shared" si="157"/>
        <v>0.43537738641571161</v>
      </c>
      <c r="AH48">
        <f>MIN(G48,L48)</f>
        <v>0</v>
      </c>
      <c r="AI48">
        <f>MIN(H48,M48)</f>
        <v>0</v>
      </c>
      <c r="AJ48">
        <f>MIN(I48,N48)</f>
        <v>0</v>
      </c>
      <c r="AK48" s="1">
        <f t="shared" si="158"/>
        <v>-17.984370454383356</v>
      </c>
      <c r="AL48">
        <f>MAX(D48,K48,P48)</f>
        <v>21.096499926753136</v>
      </c>
      <c r="AM48">
        <f t="shared" si="159"/>
        <v>2.4440790960451979E-2</v>
      </c>
      <c r="AN48">
        <f t="shared" si="160"/>
        <v>0.43537738641571161</v>
      </c>
      <c r="AO48">
        <f>MAX(G48,L48)</f>
        <v>0</v>
      </c>
      <c r="AP48">
        <f>MAX(H48,M48)</f>
        <v>0</v>
      </c>
      <c r="AQ48">
        <f>MAX(I48,N48)</f>
        <v>0</v>
      </c>
      <c r="AR48" s="1">
        <f t="shared" si="161"/>
        <v>21.5563181041293</v>
      </c>
    </row>
    <row r="49" spans="1:44" x14ac:dyDescent="0.25">
      <c r="A49" t="s">
        <v>37</v>
      </c>
      <c r="B49" t="s">
        <v>128</v>
      </c>
      <c r="C49" t="s">
        <v>134</v>
      </c>
      <c r="D49">
        <f>SUM(OsloCTM2!P49:U49)</f>
        <v>91.566638176638179</v>
      </c>
      <c r="E49">
        <f>OsloCTM2!V49</f>
        <v>1.1840484330484331E-3</v>
      </c>
      <c r="F49">
        <v>-50.957928245719692</v>
      </c>
      <c r="G49">
        <f>SUM(OsloCTM2!W49:X49)</f>
        <v>0</v>
      </c>
      <c r="H49">
        <f>OsloCTM2!Y49</f>
        <v>0</v>
      </c>
      <c r="I49">
        <f>OsloCTM2!Z49</f>
        <v>0</v>
      </c>
      <c r="J49" s="1">
        <f t="shared" si="2"/>
        <v>40.609893979351533</v>
      </c>
      <c r="K49">
        <f>SUM(NorESM!K49:L49)</f>
        <v>127.1510765745779</v>
      </c>
      <c r="L49">
        <f>SUM(NorESM!M49:N49)</f>
        <v>0</v>
      </c>
      <c r="M49">
        <f>NorESM!O49</f>
        <v>0</v>
      </c>
      <c r="N49">
        <f>NorESM!P49</f>
        <v>0</v>
      </c>
      <c r="O49" s="1">
        <f t="shared" si="3"/>
        <v>127.1510765745779</v>
      </c>
      <c r="P49">
        <f>HadGEM3!I49</f>
        <v>215.66541137422607</v>
      </c>
      <c r="Q49">
        <f>HadGEM3!J49</f>
        <v>0</v>
      </c>
      <c r="R49">
        <f>HadGEM3!K49</f>
        <v>0</v>
      </c>
      <c r="S49">
        <f>HadGEM3!L49</f>
        <v>0</v>
      </c>
      <c r="T49" s="1">
        <f t="shared" si="4"/>
        <v>215.66541137422607</v>
      </c>
      <c r="U49">
        <f>SUM(ECHAM6!G49:H49)</f>
        <v>38.012879221522617</v>
      </c>
      <c r="V49" s="1">
        <f t="shared" si="5"/>
        <v>38.012879221522617</v>
      </c>
      <c r="W49" s="5" t="s">
        <v>76</v>
      </c>
      <c r="X49">
        <f>AVERAGE(D49,K49,P49)</f>
        <v>144.79437537514738</v>
      </c>
      <c r="Y49">
        <f t="shared" si="156"/>
        <v>1.1840484330484331E-3</v>
      </c>
      <c r="Z49">
        <f t="shared" si="156"/>
        <v>-50.957928245719692</v>
      </c>
      <c r="AA49">
        <f t="shared" si="162"/>
        <v>0</v>
      </c>
      <c r="AB49">
        <f t="shared" si="162"/>
        <v>0</v>
      </c>
      <c r="AC49">
        <f t="shared" si="162"/>
        <v>0</v>
      </c>
      <c r="AD49" s="1">
        <f t="shared" si="163"/>
        <v>93.837631177860743</v>
      </c>
      <c r="AE49">
        <f>MIN(D49,K49,P49)</f>
        <v>91.566638176638179</v>
      </c>
      <c r="AF49">
        <f t="shared" si="157"/>
        <v>1.1840484330484331E-3</v>
      </c>
      <c r="AG49">
        <f t="shared" si="157"/>
        <v>-50.957928245719692</v>
      </c>
      <c r="AH49">
        <f t="shared" si="164"/>
        <v>0</v>
      </c>
      <c r="AI49">
        <f t="shared" si="164"/>
        <v>0</v>
      </c>
      <c r="AJ49">
        <f t="shared" si="164"/>
        <v>0</v>
      </c>
      <c r="AK49" s="1">
        <f t="shared" si="158"/>
        <v>40.609893979351533</v>
      </c>
      <c r="AL49">
        <f>MAX(D49,K49,P49)</f>
        <v>215.66541137422607</v>
      </c>
      <c r="AM49">
        <f t="shared" si="159"/>
        <v>1.1840484330484331E-3</v>
      </c>
      <c r="AN49">
        <f t="shared" si="160"/>
        <v>-50.957928245719692</v>
      </c>
      <c r="AO49">
        <f t="shared" si="165"/>
        <v>0</v>
      </c>
      <c r="AP49">
        <f t="shared" si="165"/>
        <v>0</v>
      </c>
      <c r="AQ49">
        <f t="shared" si="165"/>
        <v>0</v>
      </c>
      <c r="AR49" s="1">
        <f t="shared" si="161"/>
        <v>164.70866717693943</v>
      </c>
    </row>
    <row r="50" spans="1:44" x14ac:dyDescent="0.25">
      <c r="A50" t="s">
        <v>37</v>
      </c>
      <c r="B50" t="s">
        <v>128</v>
      </c>
      <c r="C50" t="s">
        <v>135</v>
      </c>
      <c r="D50">
        <f>SUM(OsloCTM2!P50:U50)</f>
        <v>71.507103064066854</v>
      </c>
      <c r="E50">
        <f>OsloCTM2!V50</f>
        <v>3.3836768802228412E-2</v>
      </c>
      <c r="F50">
        <v>-27.967094588035156</v>
      </c>
      <c r="G50">
        <f>SUM(OsloCTM2!W50:X50)</f>
        <v>0</v>
      </c>
      <c r="H50">
        <f>OsloCTM2!Y50</f>
        <v>0</v>
      </c>
      <c r="I50">
        <f>OsloCTM2!Z50</f>
        <v>0</v>
      </c>
      <c r="J50" s="1">
        <f t="shared" si="2"/>
        <v>43.573845244833933</v>
      </c>
      <c r="K50">
        <f>SUM(NorESM!K50:L50)</f>
        <v>107.18014132021952</v>
      </c>
      <c r="L50">
        <f>SUM(NorESM!M50:N50)</f>
        <v>0</v>
      </c>
      <c r="M50">
        <f>NorESM!O50</f>
        <v>0</v>
      </c>
      <c r="N50">
        <f>NorESM!P50</f>
        <v>0</v>
      </c>
      <c r="O50" s="1">
        <f t="shared" si="3"/>
        <v>107.18014132021952</v>
      </c>
      <c r="P50">
        <f>HadGEM3!I50</f>
        <v>138.25141200766342</v>
      </c>
      <c r="Q50">
        <f>HadGEM3!J50</f>
        <v>0</v>
      </c>
      <c r="R50">
        <f>HadGEM3!K50</f>
        <v>0</v>
      </c>
      <c r="S50">
        <f>HadGEM3!L50</f>
        <v>0</v>
      </c>
      <c r="T50" s="1">
        <f t="shared" si="4"/>
        <v>138.25141200766342</v>
      </c>
      <c r="U50">
        <f>SUM(ECHAM6!G50:H50)</f>
        <v>37.858375161216486</v>
      </c>
      <c r="V50" s="1">
        <f t="shared" si="5"/>
        <v>37.858375161216486</v>
      </c>
      <c r="W50" s="5" t="s">
        <v>76</v>
      </c>
      <c r="X50">
        <f>AVERAGE(D50,K50,P50)</f>
        <v>105.64621879731659</v>
      </c>
      <c r="Y50">
        <f t="shared" si="156"/>
        <v>3.3836768802228412E-2</v>
      </c>
      <c r="Z50">
        <f t="shared" si="156"/>
        <v>-27.967094588035156</v>
      </c>
      <c r="AA50">
        <f t="shared" si="162"/>
        <v>0</v>
      </c>
      <c r="AB50">
        <f t="shared" si="162"/>
        <v>0</v>
      </c>
      <c r="AC50">
        <f t="shared" si="162"/>
        <v>0</v>
      </c>
      <c r="AD50" s="1">
        <f t="shared" si="163"/>
        <v>77.712960978083672</v>
      </c>
      <c r="AE50">
        <f>MIN(D50,K50,P50)</f>
        <v>71.507103064066854</v>
      </c>
      <c r="AF50">
        <f t="shared" si="157"/>
        <v>3.3836768802228412E-2</v>
      </c>
      <c r="AG50">
        <f t="shared" si="157"/>
        <v>-27.967094588035156</v>
      </c>
      <c r="AH50">
        <f t="shared" si="164"/>
        <v>0</v>
      </c>
      <c r="AI50">
        <f t="shared" si="164"/>
        <v>0</v>
      </c>
      <c r="AJ50">
        <f t="shared" si="164"/>
        <v>0</v>
      </c>
      <c r="AK50" s="1">
        <f t="shared" si="158"/>
        <v>43.573845244833933</v>
      </c>
      <c r="AL50">
        <f>MAX(D50,K50,P50)</f>
        <v>138.25141200766342</v>
      </c>
      <c r="AM50">
        <f t="shared" si="159"/>
        <v>3.3836768802228412E-2</v>
      </c>
      <c r="AN50">
        <f t="shared" si="160"/>
        <v>-27.967094588035156</v>
      </c>
      <c r="AO50">
        <f t="shared" si="165"/>
        <v>0</v>
      </c>
      <c r="AP50">
        <f t="shared" si="165"/>
        <v>0</v>
      </c>
      <c r="AQ50">
        <f t="shared" si="165"/>
        <v>0</v>
      </c>
      <c r="AR50" s="1">
        <f t="shared" si="161"/>
        <v>110.31815418843048</v>
      </c>
    </row>
    <row r="51" spans="1:44" x14ac:dyDescent="0.25">
      <c r="A51" t="s">
        <v>37</v>
      </c>
      <c r="B51" t="s">
        <v>128</v>
      </c>
      <c r="C51" t="s">
        <v>32</v>
      </c>
      <c r="D51">
        <f>SUM(OsloCTM2!P51:U51)</f>
        <v>41.913475000000005</v>
      </c>
      <c r="E51">
        <f>OsloCTM2!V51</f>
        <v>6.5024499999999999E-6</v>
      </c>
      <c r="F51">
        <f>F73/0.0040595</f>
        <v>-18.52918953976263</v>
      </c>
      <c r="G51">
        <f>SUM(OsloCTM2!W51:X51)</f>
        <v>0</v>
      </c>
      <c r="H51">
        <f>OsloCTM2!Y51</f>
        <v>0</v>
      </c>
      <c r="I51">
        <f>OsloCTM2!Z51</f>
        <v>0</v>
      </c>
      <c r="J51" s="1">
        <f t="shared" si="2"/>
        <v>23.384291962687374</v>
      </c>
      <c r="K51">
        <f>SUM(NorESM!K51:L51)</f>
        <v>0</v>
      </c>
      <c r="L51">
        <f>SUM(NorESM!M51:N51)</f>
        <v>0</v>
      </c>
      <c r="M51">
        <f>NorESM!O51</f>
        <v>0</v>
      </c>
      <c r="N51">
        <f>NorESM!P51</f>
        <v>0</v>
      </c>
      <c r="O51" s="1">
        <f t="shared" si="3"/>
        <v>0</v>
      </c>
      <c r="P51">
        <f>HadGEM3!I51</f>
        <v>0</v>
      </c>
      <c r="Q51">
        <f>HadGEM3!J51</f>
        <v>0</v>
      </c>
      <c r="R51">
        <f>HadGEM3!K51</f>
        <v>0</v>
      </c>
      <c r="S51">
        <f>HadGEM3!L51</f>
        <v>0</v>
      </c>
      <c r="T51" s="1">
        <f t="shared" si="4"/>
        <v>0</v>
      </c>
      <c r="U51">
        <f>SUM(ECHAM6!G51:H51)</f>
        <v>0</v>
      </c>
      <c r="V51" s="1">
        <f t="shared" si="5"/>
        <v>0</v>
      </c>
      <c r="Z51">
        <f>F51</f>
        <v>-18.52918953976263</v>
      </c>
      <c r="AG51">
        <f t="shared" si="157"/>
        <v>-18.52918953976263</v>
      </c>
      <c r="AN51">
        <f t="shared" si="160"/>
        <v>-18.52918953976263</v>
      </c>
    </row>
    <row r="52" spans="1:44" x14ac:dyDescent="0.25">
      <c r="A52" t="s">
        <v>37</v>
      </c>
      <c r="B52" t="s">
        <v>128</v>
      </c>
      <c r="C52" t="s">
        <v>33</v>
      </c>
      <c r="D52">
        <f>SUM(OsloCTM2!P52:U52)</f>
        <v>29.411075</v>
      </c>
      <c r="E52">
        <f>OsloCTM2!V52</f>
        <v>3.5860249999999996E-3</v>
      </c>
      <c r="F52">
        <f>F74/0.00412691</f>
        <v>-7.8441525212920959</v>
      </c>
      <c r="G52">
        <f>SUM(OsloCTM2!W52:X52)</f>
        <v>0</v>
      </c>
      <c r="H52">
        <f>OsloCTM2!Y52</f>
        <v>0</v>
      </c>
      <c r="I52">
        <f>OsloCTM2!Z52</f>
        <v>0</v>
      </c>
      <c r="J52" s="1">
        <f t="shared" si="2"/>
        <v>21.570508503707906</v>
      </c>
      <c r="K52">
        <f>SUM(NorESM!K52:L52)</f>
        <v>0</v>
      </c>
      <c r="L52">
        <f>SUM(NorESM!M52:N52)</f>
        <v>0</v>
      </c>
      <c r="M52">
        <f>NorESM!O52</f>
        <v>0</v>
      </c>
      <c r="N52">
        <f>NorESM!P52</f>
        <v>0</v>
      </c>
      <c r="O52" s="1">
        <f t="shared" si="3"/>
        <v>0</v>
      </c>
      <c r="P52">
        <f>HadGEM3!I52</f>
        <v>0</v>
      </c>
      <c r="Q52">
        <f>HadGEM3!J52</f>
        <v>0</v>
      </c>
      <c r="R52">
        <f>HadGEM3!K52</f>
        <v>0</v>
      </c>
      <c r="S52">
        <f>HadGEM3!L52</f>
        <v>0</v>
      </c>
      <c r="T52" s="1">
        <f t="shared" si="4"/>
        <v>0</v>
      </c>
      <c r="U52">
        <f>SUM(ECHAM6!G52:H52)</f>
        <v>0</v>
      </c>
      <c r="V52" s="1">
        <f t="shared" si="5"/>
        <v>0</v>
      </c>
      <c r="Z52">
        <f>F52</f>
        <v>-7.8441525212920959</v>
      </c>
      <c r="AG52">
        <f t="shared" si="157"/>
        <v>-7.8441525212920959</v>
      </c>
      <c r="AN52">
        <f t="shared" si="160"/>
        <v>-7.8441525212920959</v>
      </c>
    </row>
    <row r="53" spans="1:44" x14ac:dyDescent="0.25">
      <c r="A53" t="s">
        <v>37</v>
      </c>
      <c r="B53" t="s">
        <v>128</v>
      </c>
      <c r="C53" t="s">
        <v>28</v>
      </c>
      <c r="D53">
        <f>SUM(OsloCTM2!P53:U53)</f>
        <v>75.614495825049701</v>
      </c>
      <c r="E53">
        <f>OsloCTM2!V53</f>
        <v>8.2657821292246515E-4</v>
      </c>
      <c r="F53">
        <v>-42.321574147684025</v>
      </c>
      <c r="G53">
        <f>SUM(OsloCTM2!W53:X53)</f>
        <v>0</v>
      </c>
      <c r="H53">
        <f>OsloCTM2!Y53</f>
        <v>0</v>
      </c>
      <c r="I53">
        <f>OsloCTM2!Z53</f>
        <v>0</v>
      </c>
      <c r="J53" s="1">
        <f t="shared" ref="J53:J54" si="166">SUM(D53:I53)</f>
        <v>33.293748255578599</v>
      </c>
      <c r="K53">
        <f>SUM(NorESM!K53:L53)</f>
        <v>109.62732515535535</v>
      </c>
      <c r="L53">
        <f>SUM(NorESM!M53:N53)</f>
        <v>0</v>
      </c>
      <c r="M53">
        <f>NorESM!O53</f>
        <v>0</v>
      </c>
      <c r="N53">
        <f>NorESM!P53</f>
        <v>0</v>
      </c>
      <c r="O53" s="1">
        <f t="shared" ref="O53:O54" si="167">SUM(K53:N53)</f>
        <v>109.62732515535535</v>
      </c>
      <c r="P53">
        <f>HadGEM3!I53</f>
        <v>160.7640625755491</v>
      </c>
      <c r="Q53">
        <f>HadGEM3!J53</f>
        <v>0</v>
      </c>
      <c r="R53">
        <f>HadGEM3!K53</f>
        <v>0</v>
      </c>
      <c r="S53">
        <f>HadGEM3!L53</f>
        <v>0</v>
      </c>
      <c r="T53" s="1">
        <f t="shared" ref="T53:T54" si="168">SUM(P53:S53)</f>
        <v>160.7640625755491</v>
      </c>
      <c r="U53">
        <f>SUM(ECHAM6!G53:H53)</f>
        <v>29.765824498128477</v>
      </c>
      <c r="V53" s="1">
        <f t="shared" ref="V53:V54" si="169">SUM(U53)</f>
        <v>29.765824498128477</v>
      </c>
      <c r="W53" s="5" t="s">
        <v>76</v>
      </c>
      <c r="X53">
        <f>AVERAGE(D53,K53,P53)</f>
        <v>115.33529451865138</v>
      </c>
      <c r="Y53">
        <f t="shared" ref="Y53:Y54" si="170">E53</f>
        <v>8.2657821292246515E-4</v>
      </c>
      <c r="Z53">
        <f>F53</f>
        <v>-42.321574147684025</v>
      </c>
      <c r="AA53">
        <f t="shared" ref="AA53:AA54" si="171">AVERAGE(G53,L53,Q53)</f>
        <v>0</v>
      </c>
      <c r="AB53">
        <f t="shared" ref="AB53:AB54" si="172">AVERAGE(H53,M53,R53)</f>
        <v>0</v>
      </c>
      <c r="AC53">
        <f t="shared" ref="AC53:AC54" si="173">AVERAGE(I53,N53,S53)</f>
        <v>0</v>
      </c>
      <c r="AD53" s="1">
        <f t="shared" ref="AD53:AD54" si="174">SUM(X53:AC53)</f>
        <v>73.014546949180271</v>
      </c>
      <c r="AE53">
        <f>MIN(D53,K53,P53)</f>
        <v>75.614495825049701</v>
      </c>
      <c r="AF53">
        <f t="shared" ref="AF53:AF54" si="175">Y53</f>
        <v>8.2657821292246515E-4</v>
      </c>
      <c r="AG53">
        <f t="shared" ref="AG53:AG54" si="176">Z53</f>
        <v>-42.321574147684025</v>
      </c>
      <c r="AH53">
        <f t="shared" ref="AH53:AH54" si="177">MIN(G53,L53,Q53)</f>
        <v>0</v>
      </c>
      <c r="AI53">
        <f t="shared" ref="AI53:AI54" si="178">MIN(H53,M53,R53)</f>
        <v>0</v>
      </c>
      <c r="AJ53">
        <f t="shared" ref="AJ53:AJ54" si="179">MIN(I53,N53,S53)</f>
        <v>0</v>
      </c>
      <c r="AK53" s="1">
        <f t="shared" ref="AK53:AK54" si="180">SUM(AE53:AJ53)</f>
        <v>33.293748255578599</v>
      </c>
      <c r="AL53">
        <f>MAX(D53,K53,P53)</f>
        <v>160.7640625755491</v>
      </c>
      <c r="AM53">
        <f t="shared" ref="AM53:AM54" si="181">AF53</f>
        <v>8.2657821292246515E-4</v>
      </c>
      <c r="AN53">
        <f t="shared" ref="AN53:AN54" si="182">Z53</f>
        <v>-42.321574147684025</v>
      </c>
      <c r="AO53">
        <f t="shared" ref="AO53:AO54" si="183">MAX(G53,L53,Q53)</f>
        <v>0</v>
      </c>
      <c r="AP53">
        <f t="shared" ref="AP53:AP54" si="184">MAX(H53,M53,R53)</f>
        <v>0</v>
      </c>
      <c r="AQ53">
        <f t="shared" ref="AQ53:AQ54" si="185">MAX(I53,N53,S53)</f>
        <v>0</v>
      </c>
      <c r="AR53" s="1">
        <f t="shared" ref="AR53:AR54" si="186">SUM(AL53:AQ53)</f>
        <v>118.443315006078</v>
      </c>
    </row>
    <row r="54" spans="1:44" x14ac:dyDescent="0.25">
      <c r="A54" t="s">
        <v>37</v>
      </c>
      <c r="B54" t="s">
        <v>128</v>
      </c>
      <c r="C54" t="s">
        <v>29</v>
      </c>
      <c r="D54">
        <f>SUM(OsloCTM2!P54:U54)</f>
        <v>47.645104369747898</v>
      </c>
      <c r="E54">
        <f>OsloCTM2!V54</f>
        <v>2.7826063865546216E-2</v>
      </c>
      <c r="F54">
        <v>-15.136602021242544</v>
      </c>
      <c r="G54">
        <f>SUM(OsloCTM2!W54:X54)</f>
        <v>0</v>
      </c>
      <c r="H54">
        <f>OsloCTM2!Y54</f>
        <v>0</v>
      </c>
      <c r="I54">
        <f>OsloCTM2!Z54</f>
        <v>0</v>
      </c>
      <c r="J54" s="1">
        <f t="shared" si="166"/>
        <v>32.536328412370899</v>
      </c>
      <c r="K54">
        <f>SUM(NorESM!K54:L54)</f>
        <v>72.985167326957011</v>
      </c>
      <c r="L54">
        <f>SUM(NorESM!M54:N54)</f>
        <v>0</v>
      </c>
      <c r="M54">
        <f>NorESM!O54</f>
        <v>0</v>
      </c>
      <c r="N54">
        <f>NorESM!P54</f>
        <v>0</v>
      </c>
      <c r="O54" s="1">
        <f t="shared" si="167"/>
        <v>72.985167326957011</v>
      </c>
      <c r="P54">
        <f>HadGEM3!I54</f>
        <v>78.57195056224937</v>
      </c>
      <c r="Q54">
        <f>HadGEM3!J54</f>
        <v>0</v>
      </c>
      <c r="R54">
        <f>HadGEM3!K54</f>
        <v>0</v>
      </c>
      <c r="S54">
        <f>HadGEM3!L54</f>
        <v>0</v>
      </c>
      <c r="T54" s="1">
        <f t="shared" si="168"/>
        <v>78.57195056224937</v>
      </c>
      <c r="U54">
        <f>SUM(ECHAM6!G54:H54)</f>
        <v>25.986962923179657</v>
      </c>
      <c r="V54" s="1">
        <f t="shared" si="169"/>
        <v>25.986962923179657</v>
      </c>
      <c r="W54" s="5" t="s">
        <v>76</v>
      </c>
      <c r="X54">
        <f>AVERAGE(D54,K54,P54)</f>
        <v>66.40074075298476</v>
      </c>
      <c r="Y54">
        <f t="shared" si="170"/>
        <v>2.7826063865546216E-2</v>
      </c>
      <c r="Z54">
        <f>F54</f>
        <v>-15.136602021242544</v>
      </c>
      <c r="AA54">
        <f t="shared" si="171"/>
        <v>0</v>
      </c>
      <c r="AB54">
        <f t="shared" si="172"/>
        <v>0</v>
      </c>
      <c r="AC54">
        <f t="shared" si="173"/>
        <v>0</v>
      </c>
      <c r="AD54" s="1">
        <f t="shared" si="174"/>
        <v>51.291964795607761</v>
      </c>
      <c r="AE54">
        <f>MIN(D54,K54,P54)</f>
        <v>47.645104369747898</v>
      </c>
      <c r="AF54">
        <f t="shared" si="175"/>
        <v>2.7826063865546216E-2</v>
      </c>
      <c r="AG54">
        <f t="shared" si="176"/>
        <v>-15.136602021242544</v>
      </c>
      <c r="AH54">
        <f t="shared" si="177"/>
        <v>0</v>
      </c>
      <c r="AI54">
        <f t="shared" si="178"/>
        <v>0</v>
      </c>
      <c r="AJ54">
        <f t="shared" si="179"/>
        <v>0</v>
      </c>
      <c r="AK54" s="1">
        <f t="shared" si="180"/>
        <v>32.536328412370899</v>
      </c>
      <c r="AL54">
        <f>MAX(D54,K54,P54)</f>
        <v>78.57195056224937</v>
      </c>
      <c r="AM54">
        <f t="shared" si="181"/>
        <v>2.7826063865546216E-2</v>
      </c>
      <c r="AN54">
        <f t="shared" si="182"/>
        <v>-15.136602021242544</v>
      </c>
      <c r="AO54">
        <f t="shared" si="183"/>
        <v>0</v>
      </c>
      <c r="AP54">
        <f t="shared" si="184"/>
        <v>0</v>
      </c>
      <c r="AQ54">
        <f t="shared" si="185"/>
        <v>0</v>
      </c>
      <c r="AR54" s="1">
        <f t="shared" si="186"/>
        <v>63.463174604872371</v>
      </c>
    </row>
    <row r="55" spans="1:44" x14ac:dyDescent="0.25">
      <c r="A55" t="s">
        <v>38</v>
      </c>
      <c r="B55" t="s">
        <v>128</v>
      </c>
      <c r="C55" t="s">
        <v>24</v>
      </c>
      <c r="D55">
        <f>SUM(OsloCTM2!P55:U55)</f>
        <v>-4.8743054054054058</v>
      </c>
      <c r="E55">
        <f>OsloCTM2!I55</f>
        <v>0</v>
      </c>
      <c r="G55">
        <f>SUM(OsloCTM2!W55:X55)</f>
        <v>0</v>
      </c>
      <c r="H55">
        <f>OsloCTM2!Y55</f>
        <v>0</v>
      </c>
      <c r="I55">
        <f>OsloCTM2!Z55</f>
        <v>0</v>
      </c>
      <c r="J55" s="1">
        <f t="shared" si="2"/>
        <v>-4.8743054054054058</v>
      </c>
      <c r="K55">
        <f>SUM(NorESM!K55:L55)</f>
        <v>-15.648048048048045</v>
      </c>
      <c r="L55">
        <f>SUM(NorESM!M55:N55)</f>
        <v>0</v>
      </c>
      <c r="M55">
        <f>NorESM!O55</f>
        <v>0</v>
      </c>
      <c r="N55">
        <f>NorESM!P55</f>
        <v>0</v>
      </c>
      <c r="O55" s="1">
        <f t="shared" si="3"/>
        <v>-15.648048048048045</v>
      </c>
      <c r="P55">
        <f>HadGEM3!I55</f>
        <v>2.3560891356154983</v>
      </c>
      <c r="Q55">
        <f>HadGEM3!J55</f>
        <v>0</v>
      </c>
      <c r="R55">
        <f>HadGEM3!K55</f>
        <v>0</v>
      </c>
      <c r="S55">
        <f>HadGEM3!L55</f>
        <v>0</v>
      </c>
      <c r="T55" s="1">
        <f t="shared" si="4"/>
        <v>2.3560891356154983</v>
      </c>
      <c r="U55">
        <f>SUM(ECHAM6!G55:H55)</f>
        <v>-0.47842756391733821</v>
      </c>
      <c r="V55" s="1">
        <f t="shared" si="5"/>
        <v>-0.47842756391733821</v>
      </c>
      <c r="W55" s="5" t="s">
        <v>76</v>
      </c>
      <c r="X55">
        <f>AVERAGE(D55,K55,P55)</f>
        <v>-6.0554214392793178</v>
      </c>
      <c r="Y55">
        <f t="shared" ref="Y55:Y60" si="187">E55</f>
        <v>0</v>
      </c>
      <c r="Z55">
        <f t="shared" si="156"/>
        <v>0</v>
      </c>
      <c r="AA55">
        <f t="shared" ref="AA55:AC58" si="188">AVERAGE(G55,L55)</f>
        <v>0</v>
      </c>
      <c r="AB55">
        <f t="shared" si="188"/>
        <v>0</v>
      </c>
      <c r="AC55">
        <f t="shared" si="188"/>
        <v>0</v>
      </c>
      <c r="AD55" s="1">
        <f t="shared" ref="AD55:AD58" si="189">SUM(X55:AC55)</f>
        <v>-6.0554214392793178</v>
      </c>
      <c r="AE55">
        <f>MIN(D55,K55,P55)</f>
        <v>-15.648048048048045</v>
      </c>
      <c r="AF55">
        <f t="shared" ref="AF55:AF60" si="190">Y55</f>
        <v>0</v>
      </c>
      <c r="AG55">
        <f t="shared" si="157"/>
        <v>0</v>
      </c>
      <c r="AH55">
        <f t="shared" ref="AH55:AJ58" si="191">MIN(G55,L55)</f>
        <v>0</v>
      </c>
      <c r="AI55">
        <f t="shared" si="191"/>
        <v>0</v>
      </c>
      <c r="AJ55">
        <f t="shared" si="191"/>
        <v>0</v>
      </c>
      <c r="AK55" s="1">
        <f t="shared" ref="AK55:AK60" si="192">SUM(AE55:AJ55)</f>
        <v>-15.648048048048045</v>
      </c>
      <c r="AL55">
        <f>MAX(D55,K55,P55)</f>
        <v>2.3560891356154983</v>
      </c>
      <c r="AM55">
        <f t="shared" ref="AM55:AM60" si="193">AF55</f>
        <v>0</v>
      </c>
      <c r="AN55">
        <f t="shared" si="160"/>
        <v>0</v>
      </c>
      <c r="AO55">
        <f t="shared" ref="AO55:AQ58" si="194">MAX(G55,L55)</f>
        <v>0</v>
      </c>
      <c r="AP55">
        <f t="shared" si="194"/>
        <v>0</v>
      </c>
      <c r="AQ55">
        <f t="shared" si="194"/>
        <v>0</v>
      </c>
      <c r="AR55" s="1">
        <f t="shared" ref="AR55:AR60" si="195">SUM(AL55:AQ55)</f>
        <v>2.3560891356154983</v>
      </c>
    </row>
    <row r="56" spans="1:44" x14ac:dyDescent="0.25">
      <c r="A56" t="s">
        <v>38</v>
      </c>
      <c r="B56" t="s">
        <v>128</v>
      </c>
      <c r="C56" t="s">
        <v>25</v>
      </c>
      <c r="D56">
        <f>SUM(OsloCTM2!P56:U56)</f>
        <v>-1.3737208955223879</v>
      </c>
      <c r="E56">
        <f>OsloCTM2!I56</f>
        <v>0</v>
      </c>
      <c r="G56">
        <f>SUM(OsloCTM2!W56:X56)</f>
        <v>0</v>
      </c>
      <c r="H56">
        <f>OsloCTM2!Y56</f>
        <v>0</v>
      </c>
      <c r="I56">
        <f>OsloCTM2!Z56</f>
        <v>0</v>
      </c>
      <c r="J56" s="1">
        <f t="shared" si="2"/>
        <v>-1.3737208955223879</v>
      </c>
      <c r="K56">
        <f>SUM(NorESM!K56:L56)</f>
        <v>-1.7606016217630132</v>
      </c>
      <c r="L56">
        <f>SUM(NorESM!M56:N56)</f>
        <v>0</v>
      </c>
      <c r="M56">
        <f>NorESM!O56</f>
        <v>0</v>
      </c>
      <c r="N56">
        <f>NorESM!P56</f>
        <v>0</v>
      </c>
      <c r="O56" s="1">
        <f t="shared" si="3"/>
        <v>-1.7606016217630132</v>
      </c>
      <c r="P56">
        <f>HadGEM3!I56</f>
        <v>0.14971308051152318</v>
      </c>
      <c r="Q56">
        <f>HadGEM3!J56</f>
        <v>0</v>
      </c>
      <c r="R56">
        <f>HadGEM3!K56</f>
        <v>0</v>
      </c>
      <c r="S56">
        <f>HadGEM3!L56</f>
        <v>0</v>
      </c>
      <c r="T56" s="1">
        <f t="shared" si="4"/>
        <v>0.14971308051152318</v>
      </c>
      <c r="U56">
        <f>SUM(ECHAM6!G56:H56)</f>
        <v>-0.24043390952834776</v>
      </c>
      <c r="V56" s="1">
        <f t="shared" si="5"/>
        <v>-0.24043390952834776</v>
      </c>
      <c r="W56" s="5" t="s">
        <v>76</v>
      </c>
      <c r="X56">
        <f>AVERAGE(D56,K56,P56)</f>
        <v>-0.99486981225795945</v>
      </c>
      <c r="Y56">
        <f t="shared" si="187"/>
        <v>0</v>
      </c>
      <c r="Z56">
        <f t="shared" si="156"/>
        <v>0</v>
      </c>
      <c r="AA56">
        <f t="shared" si="188"/>
        <v>0</v>
      </c>
      <c r="AB56">
        <f t="shared" si="188"/>
        <v>0</v>
      </c>
      <c r="AC56">
        <f t="shared" si="188"/>
        <v>0</v>
      </c>
      <c r="AD56" s="1">
        <f t="shared" si="189"/>
        <v>-0.99486981225795945</v>
      </c>
      <c r="AE56">
        <f>MIN(D56,K56,P56)</f>
        <v>-1.7606016217630132</v>
      </c>
      <c r="AF56">
        <f t="shared" si="190"/>
        <v>0</v>
      </c>
      <c r="AG56">
        <f t="shared" si="157"/>
        <v>0</v>
      </c>
      <c r="AH56">
        <f t="shared" si="191"/>
        <v>0</v>
      </c>
      <c r="AI56">
        <f t="shared" si="191"/>
        <v>0</v>
      </c>
      <c r="AJ56">
        <f t="shared" si="191"/>
        <v>0</v>
      </c>
      <c r="AK56" s="1">
        <f t="shared" si="192"/>
        <v>-1.7606016217630132</v>
      </c>
      <c r="AL56">
        <f>MAX(D56,K56,P56)</f>
        <v>0.14971308051152318</v>
      </c>
      <c r="AM56">
        <f t="shared" si="193"/>
        <v>0</v>
      </c>
      <c r="AN56">
        <f t="shared" si="160"/>
        <v>0</v>
      </c>
      <c r="AO56">
        <f t="shared" si="194"/>
        <v>0</v>
      </c>
      <c r="AP56">
        <f t="shared" si="194"/>
        <v>0</v>
      </c>
      <c r="AQ56">
        <f t="shared" si="194"/>
        <v>0</v>
      </c>
      <c r="AR56" s="1">
        <f t="shared" si="195"/>
        <v>0.14971308051152318</v>
      </c>
    </row>
    <row r="57" spans="1:44" x14ac:dyDescent="0.25">
      <c r="A57" t="s">
        <v>38</v>
      </c>
      <c r="B57" t="s">
        <v>128</v>
      </c>
      <c r="C57" t="s">
        <v>26</v>
      </c>
      <c r="D57">
        <f>SUM(OsloCTM2!P57:U57)</f>
        <v>-2.2972122641509434</v>
      </c>
      <c r="E57">
        <f>OsloCTM2!I57</f>
        <v>0</v>
      </c>
      <c r="G57">
        <f>SUM(OsloCTM2!W57:X57)</f>
        <v>0</v>
      </c>
      <c r="H57">
        <f>OsloCTM2!Y57</f>
        <v>0</v>
      </c>
      <c r="I57">
        <f>OsloCTM2!Z57</f>
        <v>0</v>
      </c>
      <c r="J57" s="1">
        <f t="shared" si="2"/>
        <v>-2.2972122641509434</v>
      </c>
      <c r="K57">
        <f>SUM(NorESM!K57:L57)</f>
        <v>-17.044126568967144</v>
      </c>
      <c r="L57">
        <f>SUM(NorESM!M57:N57)</f>
        <v>0</v>
      </c>
      <c r="M57">
        <f>NorESM!O57</f>
        <v>0</v>
      </c>
      <c r="N57">
        <f>NorESM!P57</f>
        <v>0</v>
      </c>
      <c r="O57" s="1">
        <f t="shared" si="3"/>
        <v>-17.044126568967144</v>
      </c>
      <c r="P57">
        <f>HadGEM3!I57</f>
        <v>-0.63779985033627862</v>
      </c>
      <c r="Q57">
        <f>HadGEM3!J57</f>
        <v>0</v>
      </c>
      <c r="R57">
        <f>HadGEM3!K57</f>
        <v>0</v>
      </c>
      <c r="S57">
        <f>HadGEM3!L57</f>
        <v>0</v>
      </c>
      <c r="T57" s="1">
        <f t="shared" si="4"/>
        <v>-0.63779985033627862</v>
      </c>
      <c r="U57">
        <f>SUM(ECHAM6!G57:H57)</f>
        <v>-0.40117477500857329</v>
      </c>
      <c r="V57" s="1">
        <f t="shared" si="5"/>
        <v>-0.40117477500857329</v>
      </c>
      <c r="W57" s="5" t="s">
        <v>76</v>
      </c>
      <c r="X57">
        <f>AVERAGE(D57,K57,P57)</f>
        <v>-6.6597128944847883</v>
      </c>
      <c r="Y57">
        <f t="shared" si="187"/>
        <v>0</v>
      </c>
      <c r="Z57">
        <f t="shared" si="156"/>
        <v>0</v>
      </c>
      <c r="AA57">
        <f t="shared" si="188"/>
        <v>0</v>
      </c>
      <c r="AB57">
        <f t="shared" si="188"/>
        <v>0</v>
      </c>
      <c r="AC57">
        <f t="shared" si="188"/>
        <v>0</v>
      </c>
      <c r="AD57" s="1">
        <f t="shared" si="189"/>
        <v>-6.6597128944847883</v>
      </c>
      <c r="AE57">
        <f>MIN(D57,K57,P57)</f>
        <v>-17.044126568967144</v>
      </c>
      <c r="AF57">
        <f t="shared" si="190"/>
        <v>0</v>
      </c>
      <c r="AG57">
        <f t="shared" si="157"/>
        <v>0</v>
      </c>
      <c r="AH57">
        <f t="shared" si="191"/>
        <v>0</v>
      </c>
      <c r="AI57">
        <f t="shared" si="191"/>
        <v>0</v>
      </c>
      <c r="AJ57">
        <f t="shared" si="191"/>
        <v>0</v>
      </c>
      <c r="AK57" s="1">
        <f t="shared" si="192"/>
        <v>-17.044126568967144</v>
      </c>
      <c r="AL57">
        <f>MAX(D57,K57,P57)</f>
        <v>-0.63779985033627862</v>
      </c>
      <c r="AM57">
        <f t="shared" si="193"/>
        <v>0</v>
      </c>
      <c r="AN57">
        <f t="shared" si="160"/>
        <v>0</v>
      </c>
      <c r="AO57">
        <f t="shared" si="194"/>
        <v>0</v>
      </c>
      <c r="AP57">
        <f t="shared" si="194"/>
        <v>0</v>
      </c>
      <c r="AQ57">
        <f t="shared" si="194"/>
        <v>0</v>
      </c>
      <c r="AR57" s="1">
        <f t="shared" si="195"/>
        <v>-0.63779985033627862</v>
      </c>
    </row>
    <row r="58" spans="1:44" x14ac:dyDescent="0.25">
      <c r="A58" t="s">
        <v>38</v>
      </c>
      <c r="B58" t="s">
        <v>128</v>
      </c>
      <c r="C58" t="s">
        <v>27</v>
      </c>
      <c r="D58">
        <f>SUM(OsloCTM2!P58:U58)</f>
        <v>-2.7006065573770495</v>
      </c>
      <c r="E58">
        <f>OsloCTM2!I58</f>
        <v>0</v>
      </c>
      <c r="G58">
        <f>SUM(OsloCTM2!W58:X58)</f>
        <v>0</v>
      </c>
      <c r="H58">
        <f>OsloCTM2!Y58</f>
        <v>0</v>
      </c>
      <c r="I58">
        <f>OsloCTM2!Z58</f>
        <v>0</v>
      </c>
      <c r="J58" s="1">
        <f t="shared" si="2"/>
        <v>-2.7006065573770495</v>
      </c>
      <c r="K58">
        <f>SUM(NorESM!K58:L58)</f>
        <v>-8.2917933118891085</v>
      </c>
      <c r="L58">
        <f>SUM(NorESM!M58:N58)</f>
        <v>0</v>
      </c>
      <c r="M58">
        <f>NorESM!O58</f>
        <v>0</v>
      </c>
      <c r="N58">
        <f>NorESM!P58</f>
        <v>0</v>
      </c>
      <c r="O58" s="1">
        <f t="shared" si="3"/>
        <v>-8.2917933118891085</v>
      </c>
      <c r="P58">
        <f>HadGEM3!I58</f>
        <v>2.5814175827767669</v>
      </c>
      <c r="Q58">
        <f>HadGEM3!J58</f>
        <v>0</v>
      </c>
      <c r="R58">
        <f>HadGEM3!K58</f>
        <v>0</v>
      </c>
      <c r="S58">
        <f>HadGEM3!L58</f>
        <v>0</v>
      </c>
      <c r="T58" s="1">
        <f t="shared" si="4"/>
        <v>2.5814175827767669</v>
      </c>
      <c r="U58">
        <f>SUM(ECHAM6!G58:H58)</f>
        <v>-0.91413705272620782</v>
      </c>
      <c r="V58" s="1">
        <f t="shared" si="5"/>
        <v>-0.91413705272620782</v>
      </c>
      <c r="W58" s="5" t="s">
        <v>76</v>
      </c>
      <c r="X58">
        <f>AVERAGE(D58,K58,P58)</f>
        <v>-2.8036607621631302</v>
      </c>
      <c r="Y58">
        <f t="shared" si="187"/>
        <v>0</v>
      </c>
      <c r="Z58">
        <f t="shared" si="156"/>
        <v>0</v>
      </c>
      <c r="AA58">
        <f t="shared" si="188"/>
        <v>0</v>
      </c>
      <c r="AB58">
        <f t="shared" si="188"/>
        <v>0</v>
      </c>
      <c r="AC58">
        <f t="shared" si="188"/>
        <v>0</v>
      </c>
      <c r="AD58" s="1">
        <f t="shared" si="189"/>
        <v>-2.8036607621631302</v>
      </c>
      <c r="AE58">
        <f>MIN(D58,K58,P58)</f>
        <v>-8.2917933118891085</v>
      </c>
      <c r="AF58">
        <f t="shared" si="190"/>
        <v>0</v>
      </c>
      <c r="AG58">
        <f t="shared" si="157"/>
        <v>0</v>
      </c>
      <c r="AH58">
        <f t="shared" si="191"/>
        <v>0</v>
      </c>
      <c r="AI58">
        <f t="shared" si="191"/>
        <v>0</v>
      </c>
      <c r="AJ58">
        <f t="shared" si="191"/>
        <v>0</v>
      </c>
      <c r="AK58" s="1">
        <f t="shared" si="192"/>
        <v>-8.2917933118891085</v>
      </c>
      <c r="AL58">
        <f>MAX(D58,K58,P58)</f>
        <v>2.5814175827767669</v>
      </c>
      <c r="AM58">
        <f t="shared" si="193"/>
        <v>0</v>
      </c>
      <c r="AN58">
        <f t="shared" si="160"/>
        <v>0</v>
      </c>
      <c r="AO58">
        <f t="shared" si="194"/>
        <v>0</v>
      </c>
      <c r="AP58">
        <f t="shared" si="194"/>
        <v>0</v>
      </c>
      <c r="AQ58">
        <f t="shared" si="194"/>
        <v>0</v>
      </c>
      <c r="AR58" s="1">
        <f t="shared" si="195"/>
        <v>2.5814175827767669</v>
      </c>
    </row>
    <row r="59" spans="1:44" x14ac:dyDescent="0.25">
      <c r="A59" t="s">
        <v>38</v>
      </c>
      <c r="B59" t="s">
        <v>128</v>
      </c>
      <c r="C59" t="s">
        <v>134</v>
      </c>
      <c r="D59">
        <f>SUM(OsloCTM2!P59:U59)</f>
        <v>-15.788383084577113</v>
      </c>
      <c r="E59">
        <f>OsloCTM2!I59</f>
        <v>0</v>
      </c>
      <c r="G59">
        <f>SUM(OsloCTM2!W59:X59)</f>
        <v>0</v>
      </c>
      <c r="H59">
        <f>OsloCTM2!Y59</f>
        <v>0</v>
      </c>
      <c r="I59">
        <f>OsloCTM2!Z59</f>
        <v>0</v>
      </c>
      <c r="J59" s="1">
        <f t="shared" si="2"/>
        <v>-15.788383084577113</v>
      </c>
      <c r="K59">
        <f>SUM(NorESM!K59:L59)</f>
        <v>-49.074554658231172</v>
      </c>
      <c r="L59">
        <f>SUM(NorESM!M59:N59)</f>
        <v>0</v>
      </c>
      <c r="M59">
        <f>NorESM!O59</f>
        <v>0</v>
      </c>
      <c r="N59">
        <f>NorESM!P59</f>
        <v>0</v>
      </c>
      <c r="O59" s="1">
        <f t="shared" si="3"/>
        <v>-49.074554658231172</v>
      </c>
      <c r="P59">
        <f>HadGEM3!I59</f>
        <v>-62.683082005404522</v>
      </c>
      <c r="Q59">
        <f>HadGEM3!J59</f>
        <v>0</v>
      </c>
      <c r="R59">
        <f>HadGEM3!K59</f>
        <v>0</v>
      </c>
      <c r="S59">
        <f>HadGEM3!L59</f>
        <v>0</v>
      </c>
      <c r="T59" s="1">
        <f t="shared" si="4"/>
        <v>-62.683082005404522</v>
      </c>
      <c r="U59">
        <f>SUM(ECHAM6!G59:H59)</f>
        <v>-0.19190909805418635</v>
      </c>
      <c r="V59" s="1">
        <f t="shared" si="5"/>
        <v>-0.19190909805418635</v>
      </c>
      <c r="W59" s="6" t="s">
        <v>76</v>
      </c>
      <c r="X59">
        <f t="shared" ref="X59:X60" si="196">AVERAGE(D59,K59,P59)</f>
        <v>-42.515339916070936</v>
      </c>
      <c r="Y59">
        <f t="shared" si="187"/>
        <v>0</v>
      </c>
      <c r="Z59">
        <f t="shared" si="156"/>
        <v>0</v>
      </c>
      <c r="AA59">
        <f t="shared" ref="AA59:AC60" si="197">AVERAGE(G59,L59,Q59)</f>
        <v>0</v>
      </c>
      <c r="AB59">
        <f t="shared" si="197"/>
        <v>0</v>
      </c>
      <c r="AC59">
        <f t="shared" si="197"/>
        <v>0</v>
      </c>
      <c r="AD59" s="1">
        <f t="shared" ref="AD59:AD60" si="198">SUM(X59:AC59)</f>
        <v>-42.515339916070936</v>
      </c>
      <c r="AE59">
        <f t="shared" ref="AE59:AE60" si="199">MIN(D59,K59,P59)</f>
        <v>-62.683082005404522</v>
      </c>
      <c r="AF59">
        <f t="shared" si="190"/>
        <v>0</v>
      </c>
      <c r="AG59">
        <f t="shared" si="157"/>
        <v>0</v>
      </c>
      <c r="AH59">
        <f t="shared" ref="AH59:AJ60" si="200">MIN(G59,L59,Q59)</f>
        <v>0</v>
      </c>
      <c r="AI59">
        <f t="shared" si="200"/>
        <v>0</v>
      </c>
      <c r="AJ59">
        <f t="shared" si="200"/>
        <v>0</v>
      </c>
      <c r="AK59" s="1">
        <f t="shared" si="192"/>
        <v>-62.683082005404522</v>
      </c>
      <c r="AL59">
        <f t="shared" ref="AL59:AL60" si="201">MAX(D59,K59,P59)</f>
        <v>-15.788383084577113</v>
      </c>
      <c r="AM59">
        <f t="shared" si="193"/>
        <v>0</v>
      </c>
      <c r="AN59">
        <f t="shared" si="160"/>
        <v>0</v>
      </c>
      <c r="AO59">
        <f t="shared" ref="AO59:AQ60" si="202">MAX(G59,L59,Q59)</f>
        <v>0</v>
      </c>
      <c r="AP59">
        <f t="shared" si="202"/>
        <v>0</v>
      </c>
      <c r="AQ59">
        <f t="shared" si="202"/>
        <v>0</v>
      </c>
      <c r="AR59" s="1">
        <f t="shared" si="195"/>
        <v>-15.788383084577113</v>
      </c>
    </row>
    <row r="60" spans="1:44" x14ac:dyDescent="0.25">
      <c r="A60" t="s">
        <v>38</v>
      </c>
      <c r="B60" t="s">
        <v>128</v>
      </c>
      <c r="C60" t="s">
        <v>135</v>
      </c>
      <c r="D60">
        <f>SUM(OsloCTM2!P60:U60)</f>
        <v>-18.862933333333334</v>
      </c>
      <c r="E60">
        <f>OsloCTM2!I60</f>
        <v>0</v>
      </c>
      <c r="G60">
        <f>SUM(OsloCTM2!W60:X60)</f>
        <v>0</v>
      </c>
      <c r="H60">
        <f>OsloCTM2!Y60</f>
        <v>0</v>
      </c>
      <c r="I60">
        <f>OsloCTM2!Z60</f>
        <v>0</v>
      </c>
      <c r="J60" s="1">
        <f t="shared" si="2"/>
        <v>-18.862933333333334</v>
      </c>
      <c r="K60">
        <f>SUM(NorESM!K60:L60)</f>
        <v>-48.582198940131519</v>
      </c>
      <c r="L60">
        <f>SUM(NorESM!M60:N60)</f>
        <v>0</v>
      </c>
      <c r="M60">
        <f>NorESM!O60</f>
        <v>0</v>
      </c>
      <c r="N60">
        <f>NorESM!P60</f>
        <v>0</v>
      </c>
      <c r="O60" s="1">
        <f t="shared" si="3"/>
        <v>-48.582198940131519</v>
      </c>
      <c r="P60">
        <f>HadGEM3!I60</f>
        <v>-46.773327043777925</v>
      </c>
      <c r="Q60">
        <f>HadGEM3!J60</f>
        <v>0</v>
      </c>
      <c r="R60">
        <f>HadGEM3!K60</f>
        <v>0</v>
      </c>
      <c r="S60">
        <f>HadGEM3!L60</f>
        <v>0</v>
      </c>
      <c r="T60" s="1">
        <f t="shared" si="4"/>
        <v>-46.773327043777925</v>
      </c>
      <c r="U60">
        <f>SUM(ECHAM6!G60:H60)</f>
        <v>-3.090703893737937</v>
      </c>
      <c r="V60" s="1">
        <f t="shared" si="5"/>
        <v>-3.090703893737937</v>
      </c>
      <c r="W60" s="6" t="s">
        <v>76</v>
      </c>
      <c r="X60">
        <f t="shared" si="196"/>
        <v>-38.072819772414256</v>
      </c>
      <c r="Y60">
        <f t="shared" si="187"/>
        <v>0</v>
      </c>
      <c r="Z60">
        <f t="shared" si="156"/>
        <v>0</v>
      </c>
      <c r="AA60">
        <f t="shared" si="197"/>
        <v>0</v>
      </c>
      <c r="AB60">
        <f t="shared" si="197"/>
        <v>0</v>
      </c>
      <c r="AC60">
        <f t="shared" si="197"/>
        <v>0</v>
      </c>
      <c r="AD60" s="1">
        <f t="shared" si="198"/>
        <v>-38.072819772414256</v>
      </c>
      <c r="AE60">
        <f t="shared" si="199"/>
        <v>-48.582198940131519</v>
      </c>
      <c r="AF60">
        <f t="shared" si="190"/>
        <v>0</v>
      </c>
      <c r="AG60">
        <f t="shared" si="157"/>
        <v>0</v>
      </c>
      <c r="AH60">
        <f t="shared" si="200"/>
        <v>0</v>
      </c>
      <c r="AI60">
        <f t="shared" si="200"/>
        <v>0</v>
      </c>
      <c r="AJ60">
        <f t="shared" si="200"/>
        <v>0</v>
      </c>
      <c r="AK60" s="1">
        <f t="shared" si="192"/>
        <v>-48.582198940131519</v>
      </c>
      <c r="AL60">
        <f t="shared" si="201"/>
        <v>-18.862933333333334</v>
      </c>
      <c r="AM60">
        <f t="shared" si="193"/>
        <v>0</v>
      </c>
      <c r="AN60">
        <f t="shared" si="160"/>
        <v>0</v>
      </c>
      <c r="AO60">
        <f t="shared" si="202"/>
        <v>0</v>
      </c>
      <c r="AP60">
        <f t="shared" si="202"/>
        <v>0</v>
      </c>
      <c r="AQ60">
        <f t="shared" si="202"/>
        <v>0</v>
      </c>
      <c r="AR60" s="1">
        <f t="shared" si="195"/>
        <v>-18.862933333333334</v>
      </c>
    </row>
    <row r="61" spans="1:44" x14ac:dyDescent="0.25">
      <c r="A61" t="s">
        <v>38</v>
      </c>
      <c r="B61" t="s">
        <v>128</v>
      </c>
      <c r="C61" t="s">
        <v>32</v>
      </c>
      <c r="D61">
        <f>SUM(OsloCTM2!P61:U61)</f>
        <v>-4.5886846153846159</v>
      </c>
      <c r="E61">
        <f>OsloCTM2!I61</f>
        <v>0</v>
      </c>
      <c r="G61">
        <f>SUM(OsloCTM2!W61:X61)</f>
        <v>0</v>
      </c>
      <c r="H61">
        <f>OsloCTM2!Y61</f>
        <v>0</v>
      </c>
      <c r="I61">
        <f>OsloCTM2!Z61</f>
        <v>0</v>
      </c>
      <c r="J61" s="1">
        <f t="shared" si="2"/>
        <v>-4.5886846153846159</v>
      </c>
      <c r="K61">
        <f>SUM(NorESM!K61:L61)</f>
        <v>0</v>
      </c>
      <c r="L61">
        <f>SUM(NorESM!M61:N61)</f>
        <v>0</v>
      </c>
      <c r="M61">
        <f>NorESM!O61</f>
        <v>0</v>
      </c>
      <c r="N61">
        <f>NorESM!P61</f>
        <v>0</v>
      </c>
      <c r="O61" s="1">
        <f t="shared" si="3"/>
        <v>0</v>
      </c>
      <c r="P61">
        <f>HadGEM3!I61</f>
        <v>0</v>
      </c>
      <c r="Q61">
        <f>HadGEM3!J61</f>
        <v>0</v>
      </c>
      <c r="R61">
        <f>HadGEM3!K61</f>
        <v>0</v>
      </c>
      <c r="S61">
        <f>HadGEM3!L61</f>
        <v>0</v>
      </c>
      <c r="T61" s="1">
        <f t="shared" si="4"/>
        <v>0</v>
      </c>
      <c r="U61">
        <f>SUM(ECHAM6!G61:H61)</f>
        <v>0</v>
      </c>
      <c r="V61" s="1">
        <f t="shared" si="5"/>
        <v>0</v>
      </c>
    </row>
    <row r="62" spans="1:44" x14ac:dyDescent="0.25">
      <c r="A62" t="s">
        <v>38</v>
      </c>
      <c r="B62" t="s">
        <v>128</v>
      </c>
      <c r="C62" t="s">
        <v>33</v>
      </c>
      <c r="D62">
        <f>SUM(OsloCTM2!P62:U62)</f>
        <v>-4.653253846153846</v>
      </c>
      <c r="E62">
        <f>OsloCTM2!I62</f>
        <v>0</v>
      </c>
      <c r="G62">
        <f>SUM(OsloCTM2!W62:X62)</f>
        <v>0</v>
      </c>
      <c r="H62">
        <f>OsloCTM2!Y62</f>
        <v>0</v>
      </c>
      <c r="I62">
        <f>OsloCTM2!Z62</f>
        <v>0</v>
      </c>
      <c r="J62" s="1">
        <f t="shared" si="2"/>
        <v>-4.653253846153846</v>
      </c>
      <c r="K62">
        <f>SUM(NorESM!K62:L62)</f>
        <v>0</v>
      </c>
      <c r="L62">
        <f>SUM(NorESM!M62:N62)</f>
        <v>0</v>
      </c>
      <c r="M62">
        <f>NorESM!O62</f>
        <v>0</v>
      </c>
      <c r="N62">
        <f>NorESM!P62</f>
        <v>0</v>
      </c>
      <c r="O62" s="1">
        <f t="shared" si="3"/>
        <v>0</v>
      </c>
      <c r="P62">
        <f>HadGEM3!I62</f>
        <v>0</v>
      </c>
      <c r="Q62">
        <f>HadGEM3!J62</f>
        <v>0</v>
      </c>
      <c r="R62">
        <f>HadGEM3!K62</f>
        <v>0</v>
      </c>
      <c r="S62">
        <f>HadGEM3!L62</f>
        <v>0</v>
      </c>
      <c r="T62" s="1">
        <f t="shared" si="4"/>
        <v>0</v>
      </c>
      <c r="U62">
        <f>SUM(ECHAM6!G62:H62)</f>
        <v>0</v>
      </c>
      <c r="V62" s="1">
        <f t="shared" si="5"/>
        <v>0</v>
      </c>
    </row>
    <row r="63" spans="1:44" x14ac:dyDescent="0.25">
      <c r="A63" t="s">
        <v>38</v>
      </c>
      <c r="B63" t="s">
        <v>128</v>
      </c>
      <c r="C63" t="s">
        <v>28</v>
      </c>
      <c r="D63">
        <f>SUM(OsloCTM2!P63:U63)</f>
        <v>-12.688716334283001</v>
      </c>
      <c r="E63">
        <f>OsloCTM2!I63</f>
        <v>0</v>
      </c>
      <c r="G63">
        <f>SUM(OsloCTM2!W63:X63)</f>
        <v>0</v>
      </c>
      <c r="H63">
        <f>OsloCTM2!Y63</f>
        <v>0</v>
      </c>
      <c r="I63">
        <f>OsloCTM2!Z63</f>
        <v>0</v>
      </c>
      <c r="J63" s="1">
        <f t="shared" ref="J63:J64" si="203">SUM(D63:I63)</f>
        <v>-12.688716334283001</v>
      </c>
      <c r="K63">
        <f>SUM(NorESM!K63:L63)</f>
        <v>-41.23216918812318</v>
      </c>
      <c r="L63">
        <f>SUM(NorESM!M63:N63)</f>
        <v>0</v>
      </c>
      <c r="M63">
        <f>NorESM!O63</f>
        <v>0</v>
      </c>
      <c r="N63">
        <f>NorESM!P63</f>
        <v>0</v>
      </c>
      <c r="O63" s="1">
        <f t="shared" ref="O63:O64" si="204">SUM(K63:N63)</f>
        <v>-41.23216918812318</v>
      </c>
      <c r="P63">
        <f>HadGEM3!I63</f>
        <v>-46.735446017221562</v>
      </c>
      <c r="Q63">
        <f>HadGEM3!J63</f>
        <v>0</v>
      </c>
      <c r="R63">
        <f>HadGEM3!K63</f>
        <v>0</v>
      </c>
      <c r="S63">
        <f>HadGEM3!L63</f>
        <v>0</v>
      </c>
      <c r="T63" s="1">
        <f t="shared" ref="T63:T64" si="205">SUM(P63:S63)</f>
        <v>-46.735446017221562</v>
      </c>
      <c r="U63">
        <f>SUM(ECHAM6!G63:H63)</f>
        <v>-0.2448758894935516</v>
      </c>
      <c r="V63" s="1">
        <f t="shared" ref="V63:V64" si="206">SUM(U63)</f>
        <v>-0.2448758894935516</v>
      </c>
      <c r="W63" s="6" t="s">
        <v>76</v>
      </c>
      <c r="X63">
        <f t="shared" ref="X63:X64" si="207">AVERAGE(D63,K63,P63)</f>
        <v>-33.55211051320925</v>
      </c>
      <c r="Y63">
        <f t="shared" ref="Y63:Y64" si="208">E63</f>
        <v>0</v>
      </c>
      <c r="Z63">
        <f t="shared" ref="Z63:Z64" si="209">F63</f>
        <v>0</v>
      </c>
      <c r="AA63">
        <f t="shared" ref="AA63:AA64" si="210">AVERAGE(G63,L63,Q63)</f>
        <v>0</v>
      </c>
      <c r="AB63">
        <f t="shared" ref="AB63:AB64" si="211">AVERAGE(H63,M63,R63)</f>
        <v>0</v>
      </c>
      <c r="AC63">
        <f t="shared" ref="AC63:AC64" si="212">AVERAGE(I63,N63,S63)</f>
        <v>0</v>
      </c>
      <c r="AD63" s="1">
        <f t="shared" ref="AD63:AD64" si="213">SUM(X63:AC63)</f>
        <v>-33.55211051320925</v>
      </c>
      <c r="AE63">
        <f t="shared" ref="AE63:AE64" si="214">MIN(D63,K63,P63)</f>
        <v>-46.735446017221562</v>
      </c>
      <c r="AF63">
        <f t="shared" ref="AF63:AF64" si="215">Y63</f>
        <v>0</v>
      </c>
      <c r="AG63">
        <f t="shared" ref="AG63:AG64" si="216">Z63</f>
        <v>0</v>
      </c>
      <c r="AH63">
        <f t="shared" ref="AH63:AH64" si="217">MIN(G63,L63,Q63)</f>
        <v>0</v>
      </c>
      <c r="AI63">
        <f t="shared" ref="AI63:AI64" si="218">MIN(H63,M63,R63)</f>
        <v>0</v>
      </c>
      <c r="AJ63">
        <f t="shared" ref="AJ63:AJ64" si="219">MIN(I63,N63,S63)</f>
        <v>0</v>
      </c>
      <c r="AK63" s="1">
        <f t="shared" ref="AK63:AK64" si="220">SUM(AE63:AJ63)</f>
        <v>-46.735446017221562</v>
      </c>
      <c r="AL63">
        <f t="shared" ref="AL63:AL64" si="221">MAX(D63,K63,P63)</f>
        <v>-12.688716334283001</v>
      </c>
      <c r="AM63">
        <f t="shared" ref="AM63:AM64" si="222">AF63</f>
        <v>0</v>
      </c>
      <c r="AN63">
        <f t="shared" ref="AN63:AN64" si="223">Z63</f>
        <v>0</v>
      </c>
      <c r="AO63">
        <f t="shared" ref="AO63:AO64" si="224">MAX(G63,L63,Q63)</f>
        <v>0</v>
      </c>
      <c r="AP63">
        <f t="shared" ref="AP63:AP64" si="225">MAX(H63,M63,R63)</f>
        <v>0</v>
      </c>
      <c r="AQ63">
        <f t="shared" ref="AQ63:AQ64" si="226">MAX(I63,N63,S63)</f>
        <v>0</v>
      </c>
      <c r="AR63" s="1">
        <f t="shared" ref="AR63:AR64" si="227">SUM(AL63:AQ63)</f>
        <v>-12.688716334283001</v>
      </c>
    </row>
    <row r="64" spans="1:44" x14ac:dyDescent="0.25">
      <c r="A64" t="s">
        <v>38</v>
      </c>
      <c r="B64" t="s">
        <v>128</v>
      </c>
      <c r="C64" t="s">
        <v>29</v>
      </c>
      <c r="D64">
        <f>SUM(OsloCTM2!P64:U64)</f>
        <v>-13.229237917329094</v>
      </c>
      <c r="E64">
        <f>OsloCTM2!I64</f>
        <v>0</v>
      </c>
      <c r="G64">
        <f>SUM(OsloCTM2!W64:X64)</f>
        <v>0</v>
      </c>
      <c r="H64">
        <f>OsloCTM2!Y64</f>
        <v>0</v>
      </c>
      <c r="I64">
        <f>OsloCTM2!Z64</f>
        <v>0</v>
      </c>
      <c r="J64" s="1">
        <f t="shared" si="203"/>
        <v>-13.229237917329094</v>
      </c>
      <c r="K64">
        <f>SUM(NorESM!K64:L64)</f>
        <v>-34.327706853853904</v>
      </c>
      <c r="L64">
        <f>SUM(NorESM!M64:N64)</f>
        <v>0</v>
      </c>
      <c r="M64">
        <f>NorESM!O64</f>
        <v>0</v>
      </c>
      <c r="N64">
        <f>NorESM!P64</f>
        <v>0</v>
      </c>
      <c r="O64" s="1">
        <f t="shared" si="204"/>
        <v>-34.327706853853904</v>
      </c>
      <c r="P64">
        <f>HadGEM3!I64</f>
        <v>-28.966614806095723</v>
      </c>
      <c r="Q64">
        <f>HadGEM3!J64</f>
        <v>0</v>
      </c>
      <c r="R64">
        <f>HadGEM3!K64</f>
        <v>0</v>
      </c>
      <c r="S64">
        <f>HadGEM3!L64</f>
        <v>0</v>
      </c>
      <c r="T64" s="1">
        <f t="shared" si="205"/>
        <v>-28.966614806095723</v>
      </c>
      <c r="U64">
        <f>SUM(ECHAM6!G64:H64)</f>
        <v>-2.3000866629792633</v>
      </c>
      <c r="V64" s="1">
        <f t="shared" si="206"/>
        <v>-2.3000866629792633</v>
      </c>
      <c r="W64" s="6" t="s">
        <v>76</v>
      </c>
      <c r="X64">
        <f t="shared" si="207"/>
        <v>-25.507853192426239</v>
      </c>
      <c r="Y64">
        <f t="shared" si="208"/>
        <v>0</v>
      </c>
      <c r="Z64">
        <f t="shared" si="209"/>
        <v>0</v>
      </c>
      <c r="AA64">
        <f t="shared" si="210"/>
        <v>0</v>
      </c>
      <c r="AB64">
        <f t="shared" si="211"/>
        <v>0</v>
      </c>
      <c r="AC64">
        <f t="shared" si="212"/>
        <v>0</v>
      </c>
      <c r="AD64" s="1">
        <f t="shared" si="213"/>
        <v>-25.507853192426239</v>
      </c>
      <c r="AE64">
        <f t="shared" si="214"/>
        <v>-34.327706853853904</v>
      </c>
      <c r="AF64">
        <f t="shared" si="215"/>
        <v>0</v>
      </c>
      <c r="AG64">
        <f t="shared" si="216"/>
        <v>0</v>
      </c>
      <c r="AH64">
        <f t="shared" si="217"/>
        <v>0</v>
      </c>
      <c r="AI64">
        <f t="shared" si="218"/>
        <v>0</v>
      </c>
      <c r="AJ64">
        <f t="shared" si="219"/>
        <v>0</v>
      </c>
      <c r="AK64" s="1">
        <f t="shared" si="220"/>
        <v>-34.327706853853904</v>
      </c>
      <c r="AL64">
        <f t="shared" si="221"/>
        <v>-13.229237917329094</v>
      </c>
      <c r="AM64">
        <f t="shared" si="222"/>
        <v>0</v>
      </c>
      <c r="AN64">
        <f t="shared" si="223"/>
        <v>0</v>
      </c>
      <c r="AO64">
        <f t="shared" si="224"/>
        <v>0</v>
      </c>
      <c r="AP64">
        <f t="shared" si="225"/>
        <v>0</v>
      </c>
      <c r="AQ64">
        <f t="shared" si="226"/>
        <v>0</v>
      </c>
      <c r="AR64" s="1">
        <f t="shared" si="227"/>
        <v>-13.229237917329094</v>
      </c>
    </row>
    <row r="65" spans="1:44" x14ac:dyDescent="0.25">
      <c r="A65" t="s">
        <v>43</v>
      </c>
      <c r="B65" t="s">
        <v>43</v>
      </c>
      <c r="C65" t="s">
        <v>24</v>
      </c>
      <c r="D65">
        <f>SUM(OsloCTM2!P65:U65)</f>
        <v>-2.9543999999999994E-2</v>
      </c>
      <c r="E65">
        <f>OsloCTM2!I65</f>
        <v>0</v>
      </c>
      <c r="G65">
        <f>SUM(OsloCTM2!W65:X65)</f>
        <v>0</v>
      </c>
      <c r="H65">
        <f>OsloCTM2!Y65</f>
        <v>0</v>
      </c>
      <c r="I65">
        <f>OsloCTM2!Z65</f>
        <v>0</v>
      </c>
      <c r="J65" s="1">
        <f t="shared" si="2"/>
        <v>-2.9543999999999994E-2</v>
      </c>
      <c r="K65">
        <f>SUM(NorESM!K65:L65)</f>
        <v>0</v>
      </c>
      <c r="L65">
        <f>SUM(NorESM!M65:N65)</f>
        <v>0</v>
      </c>
      <c r="M65">
        <f>NorESM!O65</f>
        <v>0</v>
      </c>
      <c r="N65">
        <f>NorESM!P65</f>
        <v>0</v>
      </c>
      <c r="O65" s="1">
        <f t="shared" si="3"/>
        <v>0</v>
      </c>
      <c r="P65">
        <f>HadGEM3!I65</f>
        <v>0</v>
      </c>
      <c r="Q65">
        <f>HadGEM3!J65</f>
        <v>0</v>
      </c>
      <c r="R65">
        <f>HadGEM3!K65</f>
        <v>0</v>
      </c>
      <c r="S65">
        <f>HadGEM3!L65</f>
        <v>0</v>
      </c>
      <c r="T65" s="1">
        <f t="shared" si="4"/>
        <v>0</v>
      </c>
      <c r="U65">
        <f>SUM(ECHAM6!G65:H65)</f>
        <v>0</v>
      </c>
      <c r="V65" s="1">
        <f t="shared" si="5"/>
        <v>0</v>
      </c>
      <c r="W65" s="6" t="s">
        <v>77</v>
      </c>
      <c r="X65">
        <f>D65</f>
        <v>-2.9543999999999994E-2</v>
      </c>
      <c r="Y65">
        <f t="shared" ref="Y65:AC76" si="228">E65</f>
        <v>0</v>
      </c>
      <c r="Z65">
        <f t="shared" si="228"/>
        <v>0</v>
      </c>
      <c r="AA65">
        <f>G65</f>
        <v>0</v>
      </c>
      <c r="AB65">
        <f>H65</f>
        <v>0</v>
      </c>
      <c r="AC65">
        <f>I65</f>
        <v>0</v>
      </c>
      <c r="AD65" s="1">
        <f>SUM(X65:AC65)</f>
        <v>-2.9543999999999994E-2</v>
      </c>
      <c r="AE65">
        <f t="shared" ref="AE65:AJ70" si="229">D65</f>
        <v>-2.9543999999999994E-2</v>
      </c>
      <c r="AF65">
        <f t="shared" si="229"/>
        <v>0</v>
      </c>
      <c r="AG65">
        <f t="shared" si="229"/>
        <v>0</v>
      </c>
      <c r="AH65">
        <f t="shared" si="229"/>
        <v>0</v>
      </c>
      <c r="AI65">
        <f t="shared" si="229"/>
        <v>0</v>
      </c>
      <c r="AJ65">
        <f t="shared" si="229"/>
        <v>0</v>
      </c>
      <c r="AK65" s="1">
        <f t="shared" ref="AK65:AK75" si="230">SUM(AE65:AJ65)</f>
        <v>-2.9543999999999994E-2</v>
      </c>
      <c r="AL65">
        <f>D65</f>
        <v>-2.9543999999999994E-2</v>
      </c>
      <c r="AM65">
        <f>DF65</f>
        <v>0</v>
      </c>
      <c r="AN65">
        <f>F65</f>
        <v>0</v>
      </c>
      <c r="AO65">
        <f>G65</f>
        <v>0</v>
      </c>
      <c r="AP65">
        <f>H65</f>
        <v>0</v>
      </c>
      <c r="AQ65">
        <f>I65</f>
        <v>0</v>
      </c>
      <c r="AR65" s="1">
        <f t="shared" ref="AR65:AR75" si="231">SUM(AL65:AQ65)</f>
        <v>-2.9543999999999994E-2</v>
      </c>
    </row>
    <row r="66" spans="1:44" x14ac:dyDescent="0.25">
      <c r="A66" t="s">
        <v>43</v>
      </c>
      <c r="B66" t="s">
        <v>43</v>
      </c>
      <c r="C66" t="s">
        <v>25</v>
      </c>
      <c r="D66">
        <f>SUM(OsloCTM2!P66:U66)</f>
        <v>-4.0442611979166668E-2</v>
      </c>
      <c r="E66">
        <f>OsloCTM2!I66</f>
        <v>0</v>
      </c>
      <c r="G66">
        <f>SUM(OsloCTM2!W66:X66)</f>
        <v>0</v>
      </c>
      <c r="H66">
        <f>OsloCTM2!Y66</f>
        <v>0</v>
      </c>
      <c r="I66">
        <f>OsloCTM2!Z66</f>
        <v>0</v>
      </c>
      <c r="J66" s="1">
        <f t="shared" si="2"/>
        <v>-4.0442611979166668E-2</v>
      </c>
      <c r="K66">
        <f>SUM(NorESM!K66:L66)</f>
        <v>0</v>
      </c>
      <c r="L66">
        <f>SUM(NorESM!M66:N66)</f>
        <v>0</v>
      </c>
      <c r="M66">
        <f>NorESM!O66</f>
        <v>0</v>
      </c>
      <c r="N66">
        <f>NorESM!P66</f>
        <v>0</v>
      </c>
      <c r="O66" s="1">
        <f t="shared" si="3"/>
        <v>0</v>
      </c>
      <c r="P66">
        <f>HadGEM3!I66</f>
        <v>0</v>
      </c>
      <c r="Q66">
        <f>HadGEM3!J66</f>
        <v>0</v>
      </c>
      <c r="R66">
        <f>HadGEM3!K66</f>
        <v>0</v>
      </c>
      <c r="S66">
        <f>HadGEM3!L66</f>
        <v>0</v>
      </c>
      <c r="T66" s="1">
        <f t="shared" si="4"/>
        <v>0</v>
      </c>
      <c r="U66">
        <f>SUM(ECHAM6!G66:H66)</f>
        <v>0</v>
      </c>
      <c r="V66" s="1">
        <f t="shared" si="5"/>
        <v>0</v>
      </c>
      <c r="W66" s="6" t="s">
        <v>77</v>
      </c>
      <c r="X66">
        <f t="shared" ref="X66:X70" si="232">D66</f>
        <v>-4.0442611979166668E-2</v>
      </c>
      <c r="Y66">
        <f t="shared" si="228"/>
        <v>0</v>
      </c>
      <c r="Z66">
        <f t="shared" si="228"/>
        <v>0</v>
      </c>
      <c r="AA66">
        <f t="shared" si="228"/>
        <v>0</v>
      </c>
      <c r="AB66">
        <f t="shared" si="228"/>
        <v>0</v>
      </c>
      <c r="AC66">
        <f t="shared" si="228"/>
        <v>0</v>
      </c>
      <c r="AD66" s="1">
        <f t="shared" ref="AD66:AD70" si="233">SUM(X66:AC66)</f>
        <v>-4.0442611979166668E-2</v>
      </c>
      <c r="AE66">
        <f t="shared" si="229"/>
        <v>-4.0442611979166668E-2</v>
      </c>
      <c r="AF66">
        <f t="shared" si="229"/>
        <v>0</v>
      </c>
      <c r="AG66">
        <f t="shared" si="229"/>
        <v>0</v>
      </c>
      <c r="AH66">
        <f t="shared" si="229"/>
        <v>0</v>
      </c>
      <c r="AI66">
        <f t="shared" si="229"/>
        <v>0</v>
      </c>
      <c r="AJ66">
        <f t="shared" si="229"/>
        <v>0</v>
      </c>
      <c r="AK66" s="1">
        <f t="shared" si="230"/>
        <v>-4.0442611979166668E-2</v>
      </c>
      <c r="AL66">
        <f t="shared" ref="AL66:AL70" si="234">D66</f>
        <v>-4.0442611979166668E-2</v>
      </c>
      <c r="AM66">
        <f t="shared" ref="AM66:AM70" si="235">DF66</f>
        <v>0</v>
      </c>
      <c r="AN66">
        <f t="shared" ref="AN66:AQ70" si="236">F66</f>
        <v>0</v>
      </c>
      <c r="AO66">
        <f t="shared" si="236"/>
        <v>0</v>
      </c>
      <c r="AP66">
        <f t="shared" si="236"/>
        <v>0</v>
      </c>
      <c r="AQ66">
        <f t="shared" si="236"/>
        <v>0</v>
      </c>
      <c r="AR66" s="1">
        <f t="shared" si="231"/>
        <v>-4.0442611979166668E-2</v>
      </c>
    </row>
    <row r="67" spans="1:44" x14ac:dyDescent="0.25">
      <c r="A67" t="s">
        <v>43</v>
      </c>
      <c r="B67" t="s">
        <v>43</v>
      </c>
      <c r="C67" t="s">
        <v>26</v>
      </c>
      <c r="D67">
        <f>SUM(OsloCTM2!P67:U67)</f>
        <v>-4.1672256410256403E-2</v>
      </c>
      <c r="E67">
        <f>OsloCTM2!I67</f>
        <v>0</v>
      </c>
      <c r="G67">
        <f>SUM(OsloCTM2!W67:X67)</f>
        <v>0</v>
      </c>
      <c r="H67">
        <f>OsloCTM2!Y67</f>
        <v>0</v>
      </c>
      <c r="I67">
        <f>OsloCTM2!Z67</f>
        <v>0</v>
      </c>
      <c r="J67" s="1">
        <f t="shared" si="2"/>
        <v>-4.1672256410256403E-2</v>
      </c>
      <c r="K67">
        <f>SUM(NorESM!K67:L67)</f>
        <v>0</v>
      </c>
      <c r="L67">
        <f>SUM(NorESM!M67:N67)</f>
        <v>0</v>
      </c>
      <c r="M67">
        <f>NorESM!O67</f>
        <v>0</v>
      </c>
      <c r="N67">
        <f>NorESM!P67</f>
        <v>0</v>
      </c>
      <c r="O67" s="1">
        <f t="shared" si="3"/>
        <v>0</v>
      </c>
      <c r="P67">
        <f>HadGEM3!I67</f>
        <v>0</v>
      </c>
      <c r="Q67">
        <f>HadGEM3!J67</f>
        <v>0</v>
      </c>
      <c r="R67">
        <f>HadGEM3!K67</f>
        <v>0</v>
      </c>
      <c r="S67">
        <f>HadGEM3!L67</f>
        <v>0</v>
      </c>
      <c r="T67" s="1">
        <f t="shared" si="4"/>
        <v>0</v>
      </c>
      <c r="U67">
        <f>SUM(ECHAM6!G67:H67)</f>
        <v>0</v>
      </c>
      <c r="V67" s="1">
        <f t="shared" si="5"/>
        <v>0</v>
      </c>
      <c r="W67" s="6" t="s">
        <v>77</v>
      </c>
      <c r="X67">
        <f t="shared" si="232"/>
        <v>-4.1672256410256403E-2</v>
      </c>
      <c r="Y67">
        <f t="shared" si="228"/>
        <v>0</v>
      </c>
      <c r="Z67">
        <f t="shared" si="228"/>
        <v>0</v>
      </c>
      <c r="AA67">
        <f t="shared" si="228"/>
        <v>0</v>
      </c>
      <c r="AB67">
        <f t="shared" si="228"/>
        <v>0</v>
      </c>
      <c r="AC67">
        <f t="shared" si="228"/>
        <v>0</v>
      </c>
      <c r="AD67" s="1">
        <f t="shared" si="233"/>
        <v>-4.1672256410256403E-2</v>
      </c>
      <c r="AE67">
        <f t="shared" si="229"/>
        <v>-4.1672256410256403E-2</v>
      </c>
      <c r="AF67">
        <f t="shared" si="229"/>
        <v>0</v>
      </c>
      <c r="AG67">
        <f t="shared" si="229"/>
        <v>0</v>
      </c>
      <c r="AH67">
        <f t="shared" si="229"/>
        <v>0</v>
      </c>
      <c r="AI67">
        <f t="shared" si="229"/>
        <v>0</v>
      </c>
      <c r="AJ67">
        <f t="shared" si="229"/>
        <v>0</v>
      </c>
      <c r="AK67" s="1">
        <f t="shared" si="230"/>
        <v>-4.1672256410256403E-2</v>
      </c>
      <c r="AL67">
        <f t="shared" si="234"/>
        <v>-4.1672256410256403E-2</v>
      </c>
      <c r="AM67">
        <f t="shared" si="235"/>
        <v>0</v>
      </c>
      <c r="AN67">
        <f t="shared" si="236"/>
        <v>0</v>
      </c>
      <c r="AO67">
        <f t="shared" si="236"/>
        <v>0</v>
      </c>
      <c r="AP67">
        <f t="shared" si="236"/>
        <v>0</v>
      </c>
      <c r="AQ67">
        <f t="shared" si="236"/>
        <v>0</v>
      </c>
      <c r="AR67" s="1">
        <f t="shared" si="231"/>
        <v>-4.1672256410256403E-2</v>
      </c>
    </row>
    <row r="68" spans="1:44" x14ac:dyDescent="0.25">
      <c r="A68" t="s">
        <v>43</v>
      </c>
      <c r="B68" t="s">
        <v>43</v>
      </c>
      <c r="C68" t="s">
        <v>27</v>
      </c>
      <c r="D68">
        <f>SUM(OsloCTM2!P68:U68)</f>
        <v>-0.45214532938564034</v>
      </c>
      <c r="E68">
        <f>OsloCTM2!I68</f>
        <v>0</v>
      </c>
      <c r="G68">
        <f>SUM(OsloCTM2!W68:X68)</f>
        <v>0</v>
      </c>
      <c r="H68">
        <f>OsloCTM2!Y68</f>
        <v>0</v>
      </c>
      <c r="I68">
        <f>OsloCTM2!Z68</f>
        <v>0</v>
      </c>
      <c r="J68" s="1">
        <f t="shared" si="2"/>
        <v>-0.45214532938564034</v>
      </c>
      <c r="K68">
        <f>SUM(NorESM!K68:L68)</f>
        <v>0</v>
      </c>
      <c r="L68">
        <f>SUM(NorESM!M68:N68)</f>
        <v>0</v>
      </c>
      <c r="M68">
        <f>NorESM!O68</f>
        <v>0</v>
      </c>
      <c r="N68">
        <f>NorESM!P68</f>
        <v>0</v>
      </c>
      <c r="O68" s="1">
        <f t="shared" si="3"/>
        <v>0</v>
      </c>
      <c r="P68">
        <f>HadGEM3!I68</f>
        <v>0</v>
      </c>
      <c r="Q68">
        <f>HadGEM3!J68</f>
        <v>0</v>
      </c>
      <c r="R68">
        <f>HadGEM3!K68</f>
        <v>0</v>
      </c>
      <c r="S68">
        <f>HadGEM3!L68</f>
        <v>0</v>
      </c>
      <c r="T68" s="1">
        <f t="shared" si="4"/>
        <v>0</v>
      </c>
      <c r="U68">
        <f>SUM(ECHAM6!G68:H68)</f>
        <v>0</v>
      </c>
      <c r="V68" s="1">
        <f t="shared" si="5"/>
        <v>0</v>
      </c>
      <c r="W68" s="6" t="s">
        <v>77</v>
      </c>
      <c r="X68">
        <f t="shared" si="232"/>
        <v>-0.45214532938564034</v>
      </c>
      <c r="Y68">
        <f t="shared" si="228"/>
        <v>0</v>
      </c>
      <c r="Z68">
        <f t="shared" si="228"/>
        <v>0</v>
      </c>
      <c r="AA68">
        <f t="shared" si="228"/>
        <v>0</v>
      </c>
      <c r="AB68">
        <f t="shared" si="228"/>
        <v>0</v>
      </c>
      <c r="AC68">
        <f t="shared" si="228"/>
        <v>0</v>
      </c>
      <c r="AD68" s="1">
        <f t="shared" si="233"/>
        <v>-0.45214532938564034</v>
      </c>
      <c r="AE68">
        <f t="shared" si="229"/>
        <v>-0.45214532938564034</v>
      </c>
      <c r="AF68">
        <f t="shared" si="229"/>
        <v>0</v>
      </c>
      <c r="AG68">
        <f t="shared" si="229"/>
        <v>0</v>
      </c>
      <c r="AH68">
        <f t="shared" si="229"/>
        <v>0</v>
      </c>
      <c r="AI68">
        <f t="shared" si="229"/>
        <v>0</v>
      </c>
      <c r="AJ68">
        <f t="shared" si="229"/>
        <v>0</v>
      </c>
      <c r="AK68" s="1">
        <f t="shared" si="230"/>
        <v>-0.45214532938564034</v>
      </c>
      <c r="AL68">
        <f t="shared" si="234"/>
        <v>-0.45214532938564034</v>
      </c>
      <c r="AM68">
        <f t="shared" si="235"/>
        <v>0</v>
      </c>
      <c r="AN68">
        <f t="shared" si="236"/>
        <v>0</v>
      </c>
      <c r="AO68">
        <f t="shared" si="236"/>
        <v>0</v>
      </c>
      <c r="AP68">
        <f t="shared" si="236"/>
        <v>0</v>
      </c>
      <c r="AQ68">
        <f t="shared" si="236"/>
        <v>0</v>
      </c>
      <c r="AR68" s="1">
        <f t="shared" si="231"/>
        <v>-0.45214532938564034</v>
      </c>
    </row>
    <row r="69" spans="1:44" x14ac:dyDescent="0.25">
      <c r="A69" t="s">
        <v>43</v>
      </c>
      <c r="B69" t="s">
        <v>43</v>
      </c>
      <c r="C69" t="s">
        <v>134</v>
      </c>
      <c r="D69">
        <f>SUM(OsloCTM2!P69:U69)</f>
        <v>-0.41661798333812128</v>
      </c>
      <c r="E69">
        <f>OsloCTM2!I69</f>
        <v>0</v>
      </c>
      <c r="G69">
        <f>SUM(OsloCTM2!W69:X69)</f>
        <v>0</v>
      </c>
      <c r="H69">
        <f>OsloCTM2!Y69</f>
        <v>0</v>
      </c>
      <c r="I69">
        <f>OsloCTM2!Z69</f>
        <v>0</v>
      </c>
      <c r="J69" s="1">
        <f t="shared" si="2"/>
        <v>-0.41661798333812128</v>
      </c>
      <c r="K69">
        <f>SUM(NorESM!K69:L69)</f>
        <v>0</v>
      </c>
      <c r="L69">
        <f>SUM(NorESM!M69:N69)</f>
        <v>0</v>
      </c>
      <c r="M69">
        <f>NorESM!O69</f>
        <v>0</v>
      </c>
      <c r="N69">
        <f>NorESM!P69</f>
        <v>0</v>
      </c>
      <c r="O69" s="1">
        <f t="shared" si="3"/>
        <v>0</v>
      </c>
      <c r="P69">
        <f>HadGEM3!I69</f>
        <v>0</v>
      </c>
      <c r="Q69">
        <f>HadGEM3!J69</f>
        <v>0</v>
      </c>
      <c r="R69">
        <f>HadGEM3!K69</f>
        <v>0</v>
      </c>
      <c r="S69">
        <f>HadGEM3!L69</f>
        <v>0</v>
      </c>
      <c r="T69" s="1">
        <f t="shared" si="4"/>
        <v>0</v>
      </c>
      <c r="U69">
        <f>SUM(ECHAM6!G69:H69)</f>
        <v>0</v>
      </c>
      <c r="V69" s="1">
        <f t="shared" si="5"/>
        <v>0</v>
      </c>
      <c r="W69" s="6" t="s">
        <v>77</v>
      </c>
      <c r="X69">
        <f t="shared" si="232"/>
        <v>-0.41661798333812128</v>
      </c>
      <c r="Y69">
        <f t="shared" si="228"/>
        <v>0</v>
      </c>
      <c r="Z69">
        <f t="shared" si="228"/>
        <v>0</v>
      </c>
      <c r="AA69">
        <f t="shared" si="228"/>
        <v>0</v>
      </c>
      <c r="AB69">
        <f t="shared" si="228"/>
        <v>0</v>
      </c>
      <c r="AC69">
        <f t="shared" si="228"/>
        <v>0</v>
      </c>
      <c r="AD69" s="1">
        <f t="shared" si="233"/>
        <v>-0.41661798333812128</v>
      </c>
      <c r="AE69">
        <f t="shared" si="229"/>
        <v>-0.41661798333812128</v>
      </c>
      <c r="AF69">
        <f t="shared" si="229"/>
        <v>0</v>
      </c>
      <c r="AG69">
        <f t="shared" si="229"/>
        <v>0</v>
      </c>
      <c r="AH69">
        <f t="shared" si="229"/>
        <v>0</v>
      </c>
      <c r="AI69">
        <f t="shared" si="229"/>
        <v>0</v>
      </c>
      <c r="AJ69">
        <f t="shared" si="229"/>
        <v>0</v>
      </c>
      <c r="AK69" s="1">
        <f t="shared" si="230"/>
        <v>-0.41661798333812128</v>
      </c>
      <c r="AL69">
        <f t="shared" si="234"/>
        <v>-0.41661798333812128</v>
      </c>
      <c r="AM69">
        <f t="shared" si="235"/>
        <v>0</v>
      </c>
      <c r="AN69">
        <f t="shared" si="236"/>
        <v>0</v>
      </c>
      <c r="AO69">
        <f t="shared" si="236"/>
        <v>0</v>
      </c>
      <c r="AP69">
        <f t="shared" si="236"/>
        <v>0</v>
      </c>
      <c r="AQ69">
        <f t="shared" si="236"/>
        <v>0</v>
      </c>
      <c r="AR69" s="1">
        <f t="shared" si="231"/>
        <v>-0.41661798333812128</v>
      </c>
    </row>
    <row r="70" spans="1:44" x14ac:dyDescent="0.25">
      <c r="A70" t="s">
        <v>43</v>
      </c>
      <c r="B70" t="s">
        <v>43</v>
      </c>
      <c r="C70" t="s">
        <v>135</v>
      </c>
      <c r="D70">
        <f>SUM(OsloCTM2!P70:U70)</f>
        <v>-0.87174947460595442</v>
      </c>
      <c r="E70">
        <f>OsloCTM2!I70</f>
        <v>0</v>
      </c>
      <c r="G70">
        <f>SUM(OsloCTM2!W70:X70)</f>
        <v>0</v>
      </c>
      <c r="H70">
        <f>OsloCTM2!Y70</f>
        <v>0</v>
      </c>
      <c r="I70">
        <f>OsloCTM2!Z70</f>
        <v>0</v>
      </c>
      <c r="J70" s="1">
        <f t="shared" si="2"/>
        <v>-0.87174947460595442</v>
      </c>
      <c r="K70">
        <f>SUM(NorESM!K70:L70)</f>
        <v>0</v>
      </c>
      <c r="L70">
        <f>SUM(NorESM!M70:N70)</f>
        <v>0</v>
      </c>
      <c r="M70">
        <f>NorESM!O70</f>
        <v>0</v>
      </c>
      <c r="N70">
        <f>NorESM!P70</f>
        <v>0</v>
      </c>
      <c r="O70" s="1">
        <f t="shared" si="3"/>
        <v>0</v>
      </c>
      <c r="P70">
        <f>HadGEM3!I70</f>
        <v>0</v>
      </c>
      <c r="Q70">
        <f>HadGEM3!J70</f>
        <v>0</v>
      </c>
      <c r="R70">
        <f>HadGEM3!K70</f>
        <v>0</v>
      </c>
      <c r="S70">
        <f>HadGEM3!L70</f>
        <v>0</v>
      </c>
      <c r="T70" s="1">
        <f t="shared" si="4"/>
        <v>0</v>
      </c>
      <c r="U70">
        <f>SUM(ECHAM6!G70:H70)</f>
        <v>0</v>
      </c>
      <c r="V70" s="1">
        <f t="shared" si="5"/>
        <v>0</v>
      </c>
      <c r="W70" s="6" t="s">
        <v>77</v>
      </c>
      <c r="X70">
        <f t="shared" si="232"/>
        <v>-0.87174947460595442</v>
      </c>
      <c r="Y70">
        <f t="shared" si="228"/>
        <v>0</v>
      </c>
      <c r="Z70">
        <f t="shared" si="228"/>
        <v>0</v>
      </c>
      <c r="AA70">
        <f t="shared" si="228"/>
        <v>0</v>
      </c>
      <c r="AB70">
        <f t="shared" si="228"/>
        <v>0</v>
      </c>
      <c r="AC70">
        <f t="shared" si="228"/>
        <v>0</v>
      </c>
      <c r="AD70" s="1">
        <f t="shared" si="233"/>
        <v>-0.87174947460595442</v>
      </c>
      <c r="AE70">
        <f t="shared" si="229"/>
        <v>-0.87174947460595442</v>
      </c>
      <c r="AF70">
        <f t="shared" si="229"/>
        <v>0</v>
      </c>
      <c r="AG70">
        <f t="shared" si="229"/>
        <v>0</v>
      </c>
      <c r="AH70">
        <f t="shared" si="229"/>
        <v>0</v>
      </c>
      <c r="AI70">
        <f t="shared" si="229"/>
        <v>0</v>
      </c>
      <c r="AJ70">
        <f t="shared" si="229"/>
        <v>0</v>
      </c>
      <c r="AK70" s="1">
        <f t="shared" si="230"/>
        <v>-0.87174947460595442</v>
      </c>
      <c r="AL70">
        <f t="shared" si="234"/>
        <v>-0.87174947460595442</v>
      </c>
      <c r="AM70">
        <f t="shared" si="235"/>
        <v>0</v>
      </c>
      <c r="AN70">
        <f t="shared" si="236"/>
        <v>0</v>
      </c>
      <c r="AO70">
        <f t="shared" si="236"/>
        <v>0</v>
      </c>
      <c r="AP70">
        <f t="shared" si="236"/>
        <v>0</v>
      </c>
      <c r="AQ70">
        <f t="shared" si="236"/>
        <v>0</v>
      </c>
      <c r="AR70" s="1">
        <f t="shared" si="231"/>
        <v>-0.87174947460595442</v>
      </c>
    </row>
    <row r="71" spans="1:44" x14ac:dyDescent="0.25">
      <c r="A71" t="s">
        <v>43</v>
      </c>
      <c r="B71" t="s">
        <v>43</v>
      </c>
      <c r="C71" t="s">
        <v>28</v>
      </c>
      <c r="D71">
        <f>SUM(OsloCTM2!P71:U71)</f>
        <v>-0.2901400271303019</v>
      </c>
      <c r="E71">
        <f>OsloCTM2!I71</f>
        <v>0</v>
      </c>
      <c r="G71">
        <f>SUM(OsloCTM2!W71:X71)</f>
        <v>0</v>
      </c>
      <c r="H71">
        <f>OsloCTM2!Y71</f>
        <v>0</v>
      </c>
      <c r="I71">
        <f>OsloCTM2!Z71</f>
        <v>0</v>
      </c>
      <c r="J71" s="1">
        <f t="shared" ref="J71:J72" si="237">SUM(D71:I71)</f>
        <v>-0.2901400271303019</v>
      </c>
      <c r="K71">
        <f>SUM(NorESM!K71:L71)</f>
        <v>0</v>
      </c>
      <c r="L71">
        <f>SUM(NorESM!M71:N71)</f>
        <v>0</v>
      </c>
      <c r="M71">
        <f>NorESM!O71</f>
        <v>0</v>
      </c>
      <c r="N71">
        <f>NorESM!P71</f>
        <v>0</v>
      </c>
      <c r="O71" s="1">
        <f t="shared" ref="O71:O72" si="238">SUM(K71:N71)</f>
        <v>0</v>
      </c>
      <c r="P71">
        <f>HadGEM3!I71</f>
        <v>0</v>
      </c>
      <c r="Q71">
        <f>HadGEM3!J71</f>
        <v>0</v>
      </c>
      <c r="R71">
        <f>HadGEM3!K71</f>
        <v>0</v>
      </c>
      <c r="S71">
        <f>HadGEM3!L71</f>
        <v>0</v>
      </c>
      <c r="T71" s="1">
        <f t="shared" ref="T71:T72" si="239">SUM(P71:S71)</f>
        <v>0</v>
      </c>
      <c r="U71">
        <f>SUM(ECHAM6!G71:H71)</f>
        <v>0</v>
      </c>
      <c r="V71" s="1">
        <f t="shared" ref="V71:V72" si="240">SUM(U71)</f>
        <v>0</v>
      </c>
      <c r="W71" s="6" t="s">
        <v>77</v>
      </c>
      <c r="X71">
        <f t="shared" ref="X71:X72" si="241">D71</f>
        <v>-0.2901400271303019</v>
      </c>
      <c r="Y71">
        <f t="shared" ref="Y71:Y72" si="242">E71</f>
        <v>0</v>
      </c>
      <c r="Z71">
        <f t="shared" ref="Z71:Z72" si="243">F71</f>
        <v>0</v>
      </c>
      <c r="AA71">
        <f t="shared" ref="AA71:AA72" si="244">G71</f>
        <v>0</v>
      </c>
      <c r="AB71">
        <f t="shared" ref="AB71:AB72" si="245">H71</f>
        <v>0</v>
      </c>
      <c r="AC71">
        <f t="shared" ref="AC71:AC72" si="246">I71</f>
        <v>0</v>
      </c>
      <c r="AD71" s="1">
        <f t="shared" ref="AD71:AD72" si="247">SUM(X71:AC71)</f>
        <v>-0.2901400271303019</v>
      </c>
      <c r="AE71">
        <f t="shared" ref="AE71:AE72" si="248">D71</f>
        <v>-0.2901400271303019</v>
      </c>
      <c r="AF71">
        <f t="shared" ref="AF71:AF72" si="249">E71</f>
        <v>0</v>
      </c>
      <c r="AG71">
        <f t="shared" ref="AG71:AG72" si="250">F71</f>
        <v>0</v>
      </c>
      <c r="AH71">
        <f t="shared" ref="AH71:AH72" si="251">G71</f>
        <v>0</v>
      </c>
      <c r="AI71">
        <f t="shared" ref="AI71:AI72" si="252">H71</f>
        <v>0</v>
      </c>
      <c r="AJ71">
        <f t="shared" ref="AJ71:AJ72" si="253">I71</f>
        <v>0</v>
      </c>
      <c r="AK71" s="1">
        <f t="shared" ref="AK71:AK72" si="254">SUM(AE71:AJ71)</f>
        <v>-0.2901400271303019</v>
      </c>
      <c r="AL71">
        <f t="shared" ref="AL71:AL72" si="255">D71</f>
        <v>-0.2901400271303019</v>
      </c>
      <c r="AM71">
        <f t="shared" ref="AM71:AM72" si="256">DF71</f>
        <v>0</v>
      </c>
      <c r="AN71">
        <f t="shared" ref="AN71:AN72" si="257">F71</f>
        <v>0</v>
      </c>
      <c r="AO71">
        <f t="shared" ref="AO71:AO72" si="258">G71</f>
        <v>0</v>
      </c>
      <c r="AP71">
        <f t="shared" ref="AP71:AP72" si="259">H71</f>
        <v>0</v>
      </c>
      <c r="AQ71">
        <f t="shared" ref="AQ71:AQ72" si="260">I71</f>
        <v>0</v>
      </c>
      <c r="AR71" s="1">
        <f t="shared" ref="AR71:AR72" si="261">SUM(AL71:AQ71)</f>
        <v>-0.2901400271303019</v>
      </c>
    </row>
    <row r="72" spans="1:44" x14ac:dyDescent="0.25">
      <c r="A72" t="s">
        <v>43</v>
      </c>
      <c r="B72" t="s">
        <v>43</v>
      </c>
      <c r="C72" t="s">
        <v>29</v>
      </c>
      <c r="D72">
        <f>SUM(OsloCTM2!P72:U72)</f>
        <v>-0.70005657876380556</v>
      </c>
      <c r="E72">
        <f>OsloCTM2!I72</f>
        <v>0</v>
      </c>
      <c r="G72">
        <f>SUM(OsloCTM2!W72:X72)</f>
        <v>0</v>
      </c>
      <c r="H72">
        <f>OsloCTM2!Y72</f>
        <v>0</v>
      </c>
      <c r="I72">
        <f>OsloCTM2!Z72</f>
        <v>0</v>
      </c>
      <c r="J72" s="1">
        <f t="shared" si="237"/>
        <v>-0.70005657876380556</v>
      </c>
      <c r="K72">
        <f>SUM(NorESM!K72:L72)</f>
        <v>0</v>
      </c>
      <c r="L72">
        <f>SUM(NorESM!M72:N72)</f>
        <v>0</v>
      </c>
      <c r="M72">
        <f>NorESM!O72</f>
        <v>0</v>
      </c>
      <c r="N72">
        <f>NorESM!P72</f>
        <v>0</v>
      </c>
      <c r="O72" s="1">
        <f t="shared" si="238"/>
        <v>0</v>
      </c>
      <c r="P72">
        <f>HadGEM3!I72</f>
        <v>0</v>
      </c>
      <c r="Q72">
        <f>HadGEM3!J72</f>
        <v>0</v>
      </c>
      <c r="R72">
        <f>HadGEM3!K72</f>
        <v>0</v>
      </c>
      <c r="S72">
        <f>HadGEM3!L72</f>
        <v>0</v>
      </c>
      <c r="T72" s="1">
        <f t="shared" si="239"/>
        <v>0</v>
      </c>
      <c r="U72">
        <f>SUM(ECHAM6!G72:H72)</f>
        <v>0</v>
      </c>
      <c r="V72" s="1">
        <f t="shared" si="240"/>
        <v>0</v>
      </c>
      <c r="W72" s="6" t="s">
        <v>77</v>
      </c>
      <c r="X72">
        <f t="shared" si="241"/>
        <v>-0.70005657876380556</v>
      </c>
      <c r="Y72">
        <f t="shared" si="242"/>
        <v>0</v>
      </c>
      <c r="Z72">
        <f t="shared" si="243"/>
        <v>0</v>
      </c>
      <c r="AA72">
        <f t="shared" si="244"/>
        <v>0</v>
      </c>
      <c r="AB72">
        <f t="shared" si="245"/>
        <v>0</v>
      </c>
      <c r="AC72">
        <f t="shared" si="246"/>
        <v>0</v>
      </c>
      <c r="AD72" s="1">
        <f t="shared" si="247"/>
        <v>-0.70005657876380556</v>
      </c>
      <c r="AE72">
        <f t="shared" si="248"/>
        <v>-0.70005657876380556</v>
      </c>
      <c r="AF72">
        <f t="shared" si="249"/>
        <v>0</v>
      </c>
      <c r="AG72">
        <f t="shared" si="250"/>
        <v>0</v>
      </c>
      <c r="AH72">
        <f t="shared" si="251"/>
        <v>0</v>
      </c>
      <c r="AI72">
        <f t="shared" si="252"/>
        <v>0</v>
      </c>
      <c r="AJ72">
        <f t="shared" si="253"/>
        <v>0</v>
      </c>
      <c r="AK72" s="1">
        <f t="shared" si="254"/>
        <v>-0.70005657876380556</v>
      </c>
      <c r="AL72">
        <f t="shared" si="255"/>
        <v>-0.70005657876380556</v>
      </c>
      <c r="AM72">
        <f t="shared" si="256"/>
        <v>0</v>
      </c>
      <c r="AN72">
        <f t="shared" si="257"/>
        <v>0</v>
      </c>
      <c r="AO72">
        <f t="shared" si="258"/>
        <v>0</v>
      </c>
      <c r="AP72">
        <f t="shared" si="259"/>
        <v>0</v>
      </c>
      <c r="AQ72">
        <f t="shared" si="260"/>
        <v>0</v>
      </c>
      <c r="AR72" s="1">
        <f t="shared" si="261"/>
        <v>-0.70005657876380556</v>
      </c>
    </row>
    <row r="73" spans="1:44" x14ac:dyDescent="0.25">
      <c r="A73" t="s">
        <v>129</v>
      </c>
      <c r="B73" t="s">
        <v>130</v>
      </c>
      <c r="C73" t="s">
        <v>32</v>
      </c>
      <c r="D73">
        <f>SUM(OsloCTM2!P73:U73)</f>
        <v>-3.0568832070472816</v>
      </c>
      <c r="E73">
        <f>OsloCTM2!I73</f>
        <v>7.8029399999999999E-8</v>
      </c>
      <c r="F73">
        <v>-7.5219244936666388E-2</v>
      </c>
      <c r="G73">
        <f>SUM(OsloCTM2!W73:X73)</f>
        <v>1.2851378879028021</v>
      </c>
      <c r="H73">
        <f>OsloCTM2!Y73</f>
        <v>-1.8910554008047042</v>
      </c>
      <c r="I73">
        <f>OsloCTM2!Z73</f>
        <v>-0.86902148400620072</v>
      </c>
      <c r="J73" s="1">
        <f t="shared" si="2"/>
        <v>-4.6070413708626505</v>
      </c>
      <c r="K73">
        <f>SUM(NorESM!K73:L73)+OsloCTM2!Q73</f>
        <v>-5.918114842609512</v>
      </c>
      <c r="L73">
        <f>SUM(NorESM!M73:N73)</f>
        <v>1.4538651534369476</v>
      </c>
      <c r="M73">
        <f>NorESM!O73</f>
        <v>-1.7311357003618324</v>
      </c>
      <c r="N73">
        <f>NorESM!P73</f>
        <v>-0.68468162133256305</v>
      </c>
      <c r="O73" s="1">
        <f t="shared" si="3"/>
        <v>-6.880067010866961</v>
      </c>
      <c r="P73">
        <f>HadGEM3!I73+OsloCTM2!Q73</f>
        <v>-3.1512741343620765</v>
      </c>
      <c r="Q73">
        <f>HadGEM3!J73</f>
        <v>1.7042277580071172</v>
      </c>
      <c r="R73">
        <f>HadGEM3!K73</f>
        <v>-1.4348826122775797</v>
      </c>
      <c r="S73">
        <f>HadGEM3!L73</f>
        <v>-0.65048459212553911</v>
      </c>
      <c r="T73" s="1">
        <f t="shared" si="4"/>
        <v>-3.5324135807580781</v>
      </c>
      <c r="U73">
        <f>SUM(ECHAM6!G73:H73)+OsloCTM2!Q73</f>
        <v>-2.0114443296726718</v>
      </c>
      <c r="V73" s="1">
        <f t="shared" si="5"/>
        <v>-2.0114443296726718</v>
      </c>
      <c r="W73" s="5" t="s">
        <v>76</v>
      </c>
      <c r="X73">
        <f>AVERAGE(D73,K73,P73)</f>
        <v>-4.0420907280062899</v>
      </c>
      <c r="Y73">
        <f t="shared" si="228"/>
        <v>7.8029399999999999E-8</v>
      </c>
      <c r="Z73">
        <f t="shared" si="228"/>
        <v>-7.5219244936666388E-2</v>
      </c>
      <c r="AA73">
        <f t="shared" ref="AA73:AC74" si="262">AVERAGE(G73,L73,Q73)</f>
        <v>1.4810769331156222</v>
      </c>
      <c r="AB73">
        <f t="shared" si="262"/>
        <v>-1.6856912378147053</v>
      </c>
      <c r="AC73">
        <f t="shared" si="262"/>
        <v>-0.73472923248810096</v>
      </c>
      <c r="AD73" s="1">
        <f t="shared" ref="AD73:AD74" si="263">SUM(X73:AC73)</f>
        <v>-5.0566534321007399</v>
      </c>
      <c r="AE73">
        <f>MIN(D73,K73,P73)</f>
        <v>-5.918114842609512</v>
      </c>
      <c r="AF73">
        <f t="shared" ref="AF73:AG76" si="264">Y73</f>
        <v>7.8029399999999999E-8</v>
      </c>
      <c r="AG73">
        <f t="shared" si="264"/>
        <v>-7.5219244936666388E-2</v>
      </c>
      <c r="AH73">
        <f t="shared" ref="AH73:AJ74" si="265">MIN(G73,L73,Q73)</f>
        <v>1.2851378879028021</v>
      </c>
      <c r="AI73">
        <f t="shared" si="265"/>
        <v>-1.8910554008047042</v>
      </c>
      <c r="AJ73">
        <f t="shared" si="265"/>
        <v>-0.86902148400620072</v>
      </c>
      <c r="AK73" s="1">
        <f t="shared" si="230"/>
        <v>-7.4682730064248819</v>
      </c>
      <c r="AL73">
        <f>MAX(D73,K73,P73)</f>
        <v>-3.0568832070472816</v>
      </c>
      <c r="AM73">
        <f t="shared" ref="AM73:AM76" si="266">AF73</f>
        <v>7.8029399999999999E-8</v>
      </c>
      <c r="AN73">
        <f t="shared" ref="AN73:AN76" si="267">Z73</f>
        <v>-7.5219244936666388E-2</v>
      </c>
      <c r="AO73">
        <f t="shared" ref="AO73:AQ75" si="268">MAX(G73,L73,Q73)</f>
        <v>1.7042277580071172</v>
      </c>
      <c r="AP73">
        <f t="shared" si="268"/>
        <v>-1.4348826122775797</v>
      </c>
      <c r="AQ73">
        <f t="shared" si="268"/>
        <v>-0.65048459212553911</v>
      </c>
      <c r="AR73" s="1">
        <f t="shared" si="231"/>
        <v>-3.51324182035055</v>
      </c>
    </row>
    <row r="74" spans="1:44" x14ac:dyDescent="0.25">
      <c r="A74" t="s">
        <v>129</v>
      </c>
      <c r="B74" t="s">
        <v>130</v>
      </c>
      <c r="C74" t="s">
        <v>33</v>
      </c>
      <c r="D74">
        <f>SUM(OsloCTM2!P74:U74)</f>
        <v>-2.9707012253124452</v>
      </c>
      <c r="E74">
        <f>OsloCTM2!I74</f>
        <v>4.3032299999999998E-5</v>
      </c>
      <c r="F74">
        <v>-3.2372111481645566E-2</v>
      </c>
      <c r="G74">
        <f>SUM(OsloCTM2!W74:X74)</f>
        <v>1.1481500256834281</v>
      </c>
      <c r="H74">
        <f>OsloCTM2!Y74</f>
        <v>-2.3454603992273024</v>
      </c>
      <c r="I74">
        <f>OsloCTM2!Z74</f>
        <v>-1.0778401711271619</v>
      </c>
      <c r="J74" s="1">
        <f t="shared" si="2"/>
        <v>-5.2781808491651283</v>
      </c>
      <c r="K74">
        <f>SUM(NorESM!K74:L74)+OsloCTM2!Q74</f>
        <v>-5.6404972848571528</v>
      </c>
      <c r="L74">
        <f>SUM(NorESM!M74:N74)</f>
        <v>1.369448136283907</v>
      </c>
      <c r="M74">
        <f>NorESM!O74</f>
        <v>-2.1246890646481944</v>
      </c>
      <c r="N74">
        <f>NorESM!P74</f>
        <v>-0.80225692193936715</v>
      </c>
      <c r="O74" s="1">
        <f t="shared" si="3"/>
        <v>-7.1979951351608076</v>
      </c>
      <c r="P74">
        <f>HadGEM3!I74+OsloCTM2!Q74</f>
        <v>-3.7949169824380564</v>
      </c>
      <c r="Q74">
        <f>HadGEM3!J74</f>
        <v>1.5588007117437723</v>
      </c>
      <c r="R74">
        <f>HadGEM3!K74</f>
        <v>-1.791499302491103</v>
      </c>
      <c r="S74">
        <f>HadGEM3!L74</f>
        <v>-0.81215193710123224</v>
      </c>
      <c r="T74" s="1">
        <f t="shared" si="4"/>
        <v>-4.8397675102866193</v>
      </c>
      <c r="U74">
        <f>SUM(ECHAM6!G74:H74)+OsloCTM2!Q74</f>
        <v>-2.3847555098555331</v>
      </c>
      <c r="V74" s="1">
        <f t="shared" si="5"/>
        <v>-2.3847555098555331</v>
      </c>
      <c r="W74" s="5" t="s">
        <v>76</v>
      </c>
      <c r="X74">
        <f>AVERAGE(D74,K74,P74)</f>
        <v>-4.135371830869218</v>
      </c>
      <c r="Y74">
        <f t="shared" si="228"/>
        <v>4.3032299999999998E-5</v>
      </c>
      <c r="Z74">
        <f t="shared" si="228"/>
        <v>-3.2372111481645566E-2</v>
      </c>
      <c r="AA74">
        <f t="shared" si="262"/>
        <v>1.3587996245703691</v>
      </c>
      <c r="AB74">
        <f t="shared" si="262"/>
        <v>-2.0872162554555334</v>
      </c>
      <c r="AC74">
        <f t="shared" si="262"/>
        <v>-0.89741634338925369</v>
      </c>
      <c r="AD74" s="1">
        <f t="shared" si="263"/>
        <v>-5.7935338843252824</v>
      </c>
      <c r="AE74">
        <f>MIN(D74,K74,P74)</f>
        <v>-5.6404972848571528</v>
      </c>
      <c r="AF74">
        <f t="shared" si="264"/>
        <v>4.3032299999999998E-5</v>
      </c>
      <c r="AG74">
        <f t="shared" si="264"/>
        <v>-3.2372111481645566E-2</v>
      </c>
      <c r="AH74">
        <f t="shared" si="265"/>
        <v>1.1481500256834281</v>
      </c>
      <c r="AI74">
        <f t="shared" si="265"/>
        <v>-2.3454603992273024</v>
      </c>
      <c r="AJ74">
        <f t="shared" si="265"/>
        <v>-1.0778401711271619</v>
      </c>
      <c r="AK74" s="1">
        <f t="shared" si="230"/>
        <v>-7.9479769087098351</v>
      </c>
      <c r="AL74">
        <f>MAX(D74,K74,P74)</f>
        <v>-2.9707012253124452</v>
      </c>
      <c r="AM74">
        <f t="shared" si="266"/>
        <v>4.3032299999999998E-5</v>
      </c>
      <c r="AN74">
        <f t="shared" si="267"/>
        <v>-3.2372111481645566E-2</v>
      </c>
      <c r="AO74">
        <f t="shared" si="268"/>
        <v>1.5588007117437723</v>
      </c>
      <c r="AP74">
        <f t="shared" si="268"/>
        <v>-1.791499302491103</v>
      </c>
      <c r="AQ74">
        <f t="shared" si="268"/>
        <v>-0.80225692193936715</v>
      </c>
      <c r="AR74" s="1">
        <f t="shared" si="231"/>
        <v>-4.0379858171807888</v>
      </c>
    </row>
    <row r="75" spans="1:44" x14ac:dyDescent="0.25">
      <c r="A75" t="s">
        <v>9</v>
      </c>
      <c r="B75" t="s">
        <v>9</v>
      </c>
      <c r="C75" t="s">
        <v>52</v>
      </c>
      <c r="D75">
        <f>SUM(OsloCTM2!P75:U75)</f>
        <v>-2.5333294744491502E-2</v>
      </c>
      <c r="E75">
        <f>OsloCTM2!I75</f>
        <v>0</v>
      </c>
      <c r="G75">
        <f>SUM(OsloCTM2!W75:X75)</f>
        <v>0.93621910848968803</v>
      </c>
      <c r="H75">
        <f>OsloCTM2!Y75</f>
        <v>2.0372824309063424</v>
      </c>
      <c r="I75">
        <f>OsloCTM2!Z75</f>
        <v>0</v>
      </c>
      <c r="J75" s="1">
        <f t="shared" si="2"/>
        <v>2.9481682446515389</v>
      </c>
      <c r="K75">
        <f>SUM(NorESM!K75:L75)+OsloCTM2!Q75</f>
        <v>0.13655965687569313</v>
      </c>
      <c r="L75">
        <f>SUM(NorESM!M75:N75)</f>
        <v>0.54556121836645399</v>
      </c>
      <c r="M75">
        <f>NorESM!O75</f>
        <v>1.379386378166463</v>
      </c>
      <c r="N75">
        <f>NorESM!P75</f>
        <v>0</v>
      </c>
      <c r="O75" s="1">
        <f t="shared" si="3"/>
        <v>2.0615072534086103</v>
      </c>
      <c r="P75">
        <f>HadGEM3!I75+OsloCTM2!Q75</f>
        <v>0.37192585903958086</v>
      </c>
      <c r="Q75">
        <f>HadGEM3!J75</f>
        <v>0.54654816842820664</v>
      </c>
      <c r="R75">
        <f>HadGEM3!K75</f>
        <v>1.2056126665309856</v>
      </c>
      <c r="S75">
        <f>HadGEM3!L75</f>
        <v>0</v>
      </c>
      <c r="T75" s="1">
        <f t="shared" si="4"/>
        <v>2.1240866939987733</v>
      </c>
      <c r="U75">
        <f>SUM(ECHAM6!G75:H75)</f>
        <v>0</v>
      </c>
      <c r="V75" s="1">
        <f t="shared" si="5"/>
        <v>0</v>
      </c>
      <c r="W75" s="5" t="s">
        <v>76</v>
      </c>
      <c r="X75">
        <f>AVERAGE(D75,K75,K76,P75)</f>
        <v>0.14582355903719127</v>
      </c>
      <c r="Y75">
        <f t="shared" si="228"/>
        <v>0</v>
      </c>
      <c r="Z75">
        <f t="shared" si="228"/>
        <v>0</v>
      </c>
      <c r="AA75">
        <f>AVERAGE(G75,L75,L76,Q75)</f>
        <v>0.63826013757881672</v>
      </c>
      <c r="AB75">
        <f>AVERAGE(H75,M75,M76,R75)</f>
        <v>1.502980885072702</v>
      </c>
      <c r="AC75">
        <f>AVERAGE(I75,N75,N76,S75)</f>
        <v>0</v>
      </c>
      <c r="AD75" s="1">
        <f>SUM(X75:AC75)</f>
        <v>2.2870645816887101</v>
      </c>
      <c r="AE75">
        <f>MIN(D75,K75,K76,P75)</f>
        <v>-2.5333294744491502E-2</v>
      </c>
      <c r="AF75">
        <f t="shared" si="264"/>
        <v>0</v>
      </c>
      <c r="AG75">
        <f t="shared" si="264"/>
        <v>0</v>
      </c>
      <c r="AH75">
        <f>MIN(G75,L75,L76,Q75)</f>
        <v>0.52471205503091833</v>
      </c>
      <c r="AI75">
        <f>MIN(H75,M75,M76,R75)</f>
        <v>1.2056126665309856</v>
      </c>
      <c r="AJ75">
        <f>MIN(I75,N75,N76,S75)</f>
        <v>0</v>
      </c>
      <c r="AK75" s="1">
        <f t="shared" si="230"/>
        <v>1.7049914268174124</v>
      </c>
      <c r="AL75">
        <f>MAX(D75,K75,K76,P75)</f>
        <v>0.37192585903958086</v>
      </c>
      <c r="AM75">
        <f t="shared" si="266"/>
        <v>0</v>
      </c>
      <c r="AN75">
        <f t="shared" si="267"/>
        <v>0</v>
      </c>
      <c r="AO75">
        <f>MAX(G75,L75,L76,Q75)</f>
        <v>0.93621910848968803</v>
      </c>
      <c r="AP75">
        <f>MAX(H75,M75,M76,R75)</f>
        <v>2.0372824309063424</v>
      </c>
      <c r="AQ75">
        <f t="shared" si="268"/>
        <v>0</v>
      </c>
      <c r="AR75" s="1">
        <f t="shared" si="231"/>
        <v>3.3454273984356115</v>
      </c>
    </row>
    <row r="76" spans="1:44" x14ac:dyDescent="0.25">
      <c r="A76" t="s">
        <v>9</v>
      </c>
      <c r="B76" t="s">
        <v>9</v>
      </c>
      <c r="C76" t="s">
        <v>53</v>
      </c>
      <c r="D76">
        <f>SUM(OsloCTM2!P76:U76)</f>
        <v>0</v>
      </c>
      <c r="E76">
        <f>OsloCTM2!I76</f>
        <v>0</v>
      </c>
      <c r="G76">
        <f>SUM(OsloCTM2!W76:X76)</f>
        <v>0</v>
      </c>
      <c r="H76">
        <f>OsloCTM2!Y76</f>
        <v>0</v>
      </c>
      <c r="I76">
        <f>OsloCTM2!Z76</f>
        <v>0</v>
      </c>
      <c r="J76" s="1">
        <f t="shared" si="2"/>
        <v>0</v>
      </c>
      <c r="K76">
        <f>SUM(NorESM!K76:L76)+OsloCTM2!Q75</f>
        <v>0.1001420149779826</v>
      </c>
      <c r="L76">
        <f>SUM(NorESM!M76:N76)</f>
        <v>0.52471205503091833</v>
      </c>
      <c r="M76">
        <f>NorESM!O76</f>
        <v>1.3896420646870171</v>
      </c>
      <c r="N76">
        <f>NorESM!P76</f>
        <v>0</v>
      </c>
      <c r="O76" s="1">
        <f t="shared" si="3"/>
        <v>2.0144961346959178</v>
      </c>
      <c r="P76">
        <f>HadGEM3!I76</f>
        <v>0</v>
      </c>
      <c r="Q76">
        <f>HadGEM3!J76</f>
        <v>0</v>
      </c>
      <c r="R76">
        <f>HadGEM3!K76</f>
        <v>0</v>
      </c>
      <c r="S76">
        <f>HadGEM3!L76</f>
        <v>0</v>
      </c>
      <c r="T76" s="1">
        <f t="shared" si="4"/>
        <v>0</v>
      </c>
      <c r="U76">
        <f>SUM(ECHAM6!G76:H76)</f>
        <v>0</v>
      </c>
      <c r="V76" s="1">
        <f t="shared" si="5"/>
        <v>0</v>
      </c>
      <c r="Y76">
        <f t="shared" si="228"/>
        <v>0</v>
      </c>
      <c r="Z76">
        <f t="shared" si="228"/>
        <v>0</v>
      </c>
      <c r="AF76">
        <f t="shared" si="264"/>
        <v>0</v>
      </c>
      <c r="AG76">
        <f t="shared" si="264"/>
        <v>0</v>
      </c>
      <c r="AM76">
        <f t="shared" si="266"/>
        <v>0</v>
      </c>
      <c r="AN76">
        <f t="shared" si="267"/>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OsloCTM2</vt:lpstr>
      <vt:lpstr>NorESM</vt:lpstr>
      <vt:lpstr>HadGEM3</vt:lpstr>
      <vt:lpstr>ECHAM6</vt:lpstr>
      <vt:lpstr>Methane</vt:lpstr>
      <vt:lpstr>Best(OsloNitr)</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2016-03-29T15:57:27Z</dcterms:modified>
</cp:coreProperties>
</file>