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stevens\Desktop\Covid-NOx-CH4 paper\"/>
    </mc:Choice>
  </mc:AlternateContent>
  <bookViews>
    <workbookView xWindow="1116" yWindow="0" windowWidth="22164" windowHeight="13200" tabRatio="930" firstSheet="5" activeTab="19"/>
  </bookViews>
  <sheets>
    <sheet name="Table S1" sheetId="1" r:id="rId1"/>
    <sheet name="Table S2" sheetId="2" r:id="rId2"/>
    <sheet name="Table S3" sheetId="3" r:id="rId3"/>
    <sheet name="Table S4" sheetId="4" r:id="rId4"/>
    <sheet name="Figure 1" sheetId="5" r:id="rId5"/>
    <sheet name="Table S5" sheetId="6" r:id="rId6"/>
    <sheet name="Table S6" sheetId="7" r:id="rId7"/>
    <sheet name="Table S7ab" sheetId="13" r:id="rId8"/>
    <sheet name="Table S8" sheetId="8" r:id="rId9"/>
    <sheet name="Table S9" sheetId="10" r:id="rId10"/>
    <sheet name="Table S10" sheetId="11" r:id="rId11"/>
    <sheet name="Figure 2" sheetId="15" r:id="rId12"/>
    <sheet name="Figure 3" sheetId="17" r:id="rId13"/>
    <sheet name="Figure 4" sheetId="16" r:id="rId14"/>
    <sheet name="Table S11ab" sheetId="18" r:id="rId15"/>
    <sheet name="Table S12" sheetId="19" r:id="rId16"/>
    <sheet name="Figure 5" sheetId="22" r:id="rId17"/>
    <sheet name="Figure 6" sheetId="24" r:id="rId18"/>
    <sheet name="Figure 7" sheetId="23" r:id="rId19"/>
    <sheet name="Table S13ab" sheetId="25" r:id="rId20"/>
  </sheets>
  <externalReferences>
    <externalReference r:id="rId21"/>
  </externalReferenc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4" l="1"/>
  <c r="D4" i="4"/>
  <c r="E4" i="4"/>
  <c r="G4" i="4"/>
  <c r="H4" i="4"/>
  <c r="I4" i="4"/>
  <c r="J4" i="4"/>
  <c r="K4" i="4"/>
  <c r="L4" i="4"/>
  <c r="M4" i="4"/>
  <c r="C5" i="4"/>
  <c r="D5" i="4"/>
  <c r="E5" i="4"/>
  <c r="C6" i="4"/>
  <c r="D6" i="4"/>
  <c r="E6" i="4"/>
  <c r="G6" i="4"/>
  <c r="H6" i="4"/>
  <c r="I6" i="4"/>
  <c r="J6" i="4"/>
  <c r="K6" i="4"/>
  <c r="L6" i="4"/>
  <c r="M6" i="4"/>
  <c r="C7" i="4"/>
  <c r="D7" i="4"/>
  <c r="E7" i="4"/>
  <c r="G7" i="4"/>
  <c r="H7" i="4"/>
  <c r="I7" i="4"/>
  <c r="J7" i="4"/>
  <c r="L7" i="4"/>
  <c r="M7" i="4"/>
  <c r="C8" i="4"/>
  <c r="D8" i="4"/>
  <c r="E8" i="4"/>
  <c r="G8" i="4"/>
  <c r="H8" i="4"/>
  <c r="I8" i="4"/>
  <c r="J8" i="4"/>
  <c r="L8" i="4"/>
  <c r="M8" i="4"/>
  <c r="C9" i="4"/>
  <c r="D9" i="4"/>
  <c r="E9" i="4"/>
  <c r="G9" i="4"/>
  <c r="H9" i="4"/>
  <c r="I9" i="4"/>
  <c r="J9" i="4"/>
  <c r="L9" i="4"/>
  <c r="M9" i="4"/>
  <c r="C10" i="4"/>
  <c r="D10" i="4"/>
  <c r="E10" i="4"/>
  <c r="G10" i="4"/>
  <c r="H10" i="4"/>
  <c r="I10" i="4"/>
  <c r="J10" i="4"/>
  <c r="L10" i="4"/>
  <c r="M10" i="4"/>
  <c r="C11" i="4"/>
  <c r="D11" i="4"/>
  <c r="E11" i="4"/>
  <c r="C12" i="4"/>
  <c r="D12" i="4"/>
  <c r="E12" i="4"/>
  <c r="G12" i="4"/>
  <c r="H12" i="4"/>
  <c r="I12" i="4"/>
  <c r="J12" i="4"/>
  <c r="K12" i="4"/>
  <c r="L12" i="4"/>
  <c r="M12" i="4"/>
  <c r="C13" i="4"/>
  <c r="D13" i="4"/>
  <c r="E13" i="4"/>
  <c r="G13" i="4"/>
  <c r="H13" i="4"/>
  <c r="I13" i="4"/>
  <c r="J13" i="4"/>
  <c r="K13" i="4"/>
  <c r="L13" i="4"/>
  <c r="M13" i="4"/>
  <c r="C14" i="4"/>
  <c r="D14" i="4"/>
  <c r="E14" i="4"/>
  <c r="G14" i="4"/>
  <c r="H14" i="4"/>
  <c r="I14" i="4"/>
  <c r="J14" i="4"/>
  <c r="K14" i="4"/>
  <c r="L14" i="4"/>
  <c r="M14" i="4"/>
  <c r="C15" i="4"/>
  <c r="D15" i="4"/>
  <c r="E15" i="4"/>
  <c r="G15" i="4"/>
  <c r="H15" i="4"/>
  <c r="I15" i="4"/>
  <c r="J15" i="4"/>
  <c r="K15" i="4"/>
  <c r="L15" i="4"/>
  <c r="M15" i="4"/>
  <c r="C16" i="4"/>
  <c r="D16" i="4"/>
  <c r="E16" i="4"/>
  <c r="C17" i="4"/>
  <c r="D17" i="4"/>
  <c r="E17" i="4"/>
  <c r="G17" i="4"/>
  <c r="H17" i="4"/>
  <c r="I17" i="4"/>
  <c r="J17" i="4"/>
  <c r="K17" i="4"/>
  <c r="L17" i="4"/>
  <c r="M17" i="4"/>
  <c r="C18" i="4"/>
  <c r="D18" i="4"/>
  <c r="E18" i="4"/>
  <c r="G18" i="4"/>
  <c r="H18" i="4"/>
  <c r="I18" i="4"/>
  <c r="J18" i="4"/>
  <c r="K18" i="4"/>
  <c r="L18" i="4"/>
  <c r="M18" i="4"/>
  <c r="C19" i="4"/>
  <c r="D19" i="4"/>
  <c r="E19" i="4"/>
  <c r="G19" i="4"/>
  <c r="H19" i="4"/>
  <c r="I19" i="4"/>
  <c r="J19" i="4"/>
  <c r="K19" i="4"/>
  <c r="L19" i="4"/>
  <c r="M19" i="4"/>
  <c r="C20" i="4"/>
  <c r="D20" i="4"/>
  <c r="E20" i="4"/>
  <c r="G20" i="4"/>
  <c r="H20" i="4"/>
  <c r="I20" i="4"/>
  <c r="J20" i="4"/>
  <c r="K20" i="4"/>
  <c r="L20" i="4"/>
  <c r="M20" i="4"/>
  <c r="C21" i="4"/>
  <c r="D21" i="4"/>
  <c r="E21" i="4"/>
  <c r="B5" i="4"/>
  <c r="B6" i="4"/>
  <c r="B7" i="4"/>
  <c r="B8" i="4"/>
  <c r="B9" i="4"/>
  <c r="B10" i="4"/>
  <c r="B11" i="4"/>
  <c r="B12" i="4"/>
  <c r="B13" i="4"/>
  <c r="B14" i="4"/>
  <c r="B15" i="4"/>
  <c r="B16" i="4"/>
  <c r="B17" i="4"/>
  <c r="B18" i="4"/>
  <c r="B19" i="4"/>
  <c r="B20" i="4"/>
  <c r="B21" i="4"/>
  <c r="B4" i="4"/>
  <c r="G19" i="18" l="1"/>
  <c r="F19" i="18"/>
  <c r="D19" i="18"/>
  <c r="E19" i="18"/>
  <c r="D20" i="18"/>
  <c r="F20" i="18" s="1"/>
  <c r="E20" i="18"/>
  <c r="D21" i="18"/>
  <c r="F21" i="18" s="1"/>
  <c r="E21" i="18"/>
  <c r="D22" i="18"/>
  <c r="G22" i="18" s="1"/>
  <c r="E22" i="18"/>
  <c r="D23" i="18"/>
  <c r="G23" i="18" s="1"/>
  <c r="E23" i="18"/>
  <c r="E18" i="18"/>
  <c r="D18" i="18"/>
  <c r="F18" i="18" s="1"/>
  <c r="K19" i="8"/>
  <c r="I20" i="8"/>
  <c r="D21" i="8"/>
  <c r="G21" i="8"/>
  <c r="M21" i="8"/>
  <c r="D22" i="8"/>
  <c r="J22" i="8"/>
  <c r="K22" i="8"/>
  <c r="M22" i="8"/>
  <c r="H23" i="8"/>
  <c r="I23" i="8"/>
  <c r="K23" i="8"/>
  <c r="B21" i="8"/>
  <c r="B23" i="8"/>
  <c r="G12" i="8"/>
  <c r="H12" i="8"/>
  <c r="J12" i="8"/>
  <c r="D13" i="8"/>
  <c r="E13" i="8"/>
  <c r="H13" i="8"/>
  <c r="M13" i="8"/>
  <c r="C15" i="8"/>
  <c r="D15" i="8"/>
  <c r="J15" i="8"/>
  <c r="K15" i="8"/>
  <c r="L15" i="8"/>
  <c r="M15" i="8"/>
  <c r="H16" i="8"/>
  <c r="I16" i="8"/>
  <c r="J16" i="8"/>
  <c r="K16" i="8"/>
  <c r="B15" i="8"/>
  <c r="B16" i="8"/>
  <c r="C38" i="13"/>
  <c r="C16" i="8" s="1"/>
  <c r="D38" i="13"/>
  <c r="D16" i="8" s="1"/>
  <c r="E38" i="13"/>
  <c r="E16" i="8" s="1"/>
  <c r="G38" i="13"/>
  <c r="G16" i="8" s="1"/>
  <c r="H38" i="13"/>
  <c r="I38" i="13"/>
  <c r="J38" i="13"/>
  <c r="K38" i="13"/>
  <c r="L38" i="13"/>
  <c r="L16" i="8" s="1"/>
  <c r="M38" i="13"/>
  <c r="M16" i="8" s="1"/>
  <c r="C34" i="13"/>
  <c r="C12" i="8" s="1"/>
  <c r="D34" i="13"/>
  <c r="D12" i="8" s="1"/>
  <c r="E34" i="13"/>
  <c r="E12" i="8" s="1"/>
  <c r="G34" i="13"/>
  <c r="H34" i="13"/>
  <c r="I34" i="13"/>
  <c r="I12" i="8" s="1"/>
  <c r="J34" i="13"/>
  <c r="K34" i="13"/>
  <c r="K12" i="8" s="1"/>
  <c r="L34" i="13"/>
  <c r="M34" i="13"/>
  <c r="M12" i="8" s="1"/>
  <c r="C35" i="13"/>
  <c r="C13" i="8" s="1"/>
  <c r="D35" i="13"/>
  <c r="E35" i="13"/>
  <c r="G35" i="13"/>
  <c r="G13" i="8" s="1"/>
  <c r="H35" i="13"/>
  <c r="I35" i="13"/>
  <c r="I13" i="8" s="1"/>
  <c r="J35" i="13"/>
  <c r="J13" i="8" s="1"/>
  <c r="K35" i="13"/>
  <c r="K13" i="8" s="1"/>
  <c r="L35" i="13"/>
  <c r="L13" i="8" s="1"/>
  <c r="M35" i="13"/>
  <c r="C37" i="13"/>
  <c r="D37" i="13"/>
  <c r="E37" i="13"/>
  <c r="E15" i="8" s="1"/>
  <c r="G37" i="13"/>
  <c r="H37" i="13"/>
  <c r="H15" i="8" s="1"/>
  <c r="I37" i="13"/>
  <c r="I15" i="8" s="1"/>
  <c r="J37" i="13"/>
  <c r="K37" i="13"/>
  <c r="L37" i="13"/>
  <c r="M37" i="13"/>
  <c r="C36" i="13"/>
  <c r="D36" i="13"/>
  <c r="E36" i="13"/>
  <c r="E14" i="8" s="1"/>
  <c r="G36" i="13"/>
  <c r="H36" i="13"/>
  <c r="I36" i="13"/>
  <c r="I14" i="8" s="1"/>
  <c r="J36" i="13"/>
  <c r="K36" i="13"/>
  <c r="K14" i="8" s="1"/>
  <c r="L36" i="13"/>
  <c r="L14" i="8" s="1"/>
  <c r="M36" i="13"/>
  <c r="M14" i="8" s="1"/>
  <c r="C45" i="13"/>
  <c r="C23" i="8" s="1"/>
  <c r="D45" i="13"/>
  <c r="D23" i="8" s="1"/>
  <c r="E45" i="13"/>
  <c r="E23" i="8" s="1"/>
  <c r="G45" i="13"/>
  <c r="G23" i="8" s="1"/>
  <c r="H45" i="13"/>
  <c r="I45" i="13"/>
  <c r="J45" i="13"/>
  <c r="J23" i="8" s="1"/>
  <c r="K45" i="13"/>
  <c r="L45" i="13"/>
  <c r="L23" i="8" s="1"/>
  <c r="M45" i="13"/>
  <c r="M23" i="8" s="1"/>
  <c r="C41" i="13"/>
  <c r="D41" i="13"/>
  <c r="E41" i="13"/>
  <c r="E19" i="8" s="1"/>
  <c r="G41" i="13"/>
  <c r="G19" i="8" s="1"/>
  <c r="H41" i="13"/>
  <c r="H19" i="8" s="1"/>
  <c r="I41" i="13"/>
  <c r="I19" i="8" s="1"/>
  <c r="J41" i="13"/>
  <c r="J19" i="8" s="1"/>
  <c r="K41" i="13"/>
  <c r="L41" i="13"/>
  <c r="M41" i="13"/>
  <c r="C42" i="13"/>
  <c r="C20" i="8" s="1"/>
  <c r="D42" i="13"/>
  <c r="D20" i="8" s="1"/>
  <c r="E42" i="13"/>
  <c r="E20" i="8" s="1"/>
  <c r="G42" i="13"/>
  <c r="G20" i="8" s="1"/>
  <c r="H42" i="13"/>
  <c r="H20" i="8" s="1"/>
  <c r="I42" i="13"/>
  <c r="J42" i="13"/>
  <c r="K42" i="13"/>
  <c r="L42" i="13"/>
  <c r="L20" i="8" s="1"/>
  <c r="M42" i="13"/>
  <c r="M20" i="8" s="1"/>
  <c r="C44" i="13"/>
  <c r="C22" i="8" s="1"/>
  <c r="D44" i="13"/>
  <c r="E44" i="13"/>
  <c r="G44" i="13"/>
  <c r="G22" i="8" s="1"/>
  <c r="H44" i="13"/>
  <c r="H22" i="8" s="1"/>
  <c r="I44" i="13"/>
  <c r="I22" i="8" s="1"/>
  <c r="J44" i="13"/>
  <c r="K44" i="13"/>
  <c r="L44" i="13"/>
  <c r="L22" i="8" s="1"/>
  <c r="M44" i="13"/>
  <c r="C43" i="13"/>
  <c r="C21" i="8" s="1"/>
  <c r="D43" i="13"/>
  <c r="E43" i="13"/>
  <c r="E21" i="8" s="1"/>
  <c r="G43" i="13"/>
  <c r="H43" i="13"/>
  <c r="H21" i="8" s="1"/>
  <c r="I43" i="13"/>
  <c r="I21" i="8" s="1"/>
  <c r="J43" i="13"/>
  <c r="J21" i="8" s="1"/>
  <c r="K43" i="13"/>
  <c r="L43" i="13"/>
  <c r="M43" i="13"/>
  <c r="B34" i="13"/>
  <c r="B35" i="13"/>
  <c r="B13" i="8" s="1"/>
  <c r="B37" i="13"/>
  <c r="B36" i="13"/>
  <c r="B45" i="13"/>
  <c r="B41" i="13"/>
  <c r="B42" i="13"/>
  <c r="B20" i="8" s="1"/>
  <c r="B44" i="13"/>
  <c r="B22" i="8" s="1"/>
  <c r="B43" i="13"/>
  <c r="B38" i="13"/>
  <c r="B23" i="13"/>
  <c r="D31" i="13" s="1"/>
  <c r="D9" i="8" s="1"/>
  <c r="D14" i="8" l="1"/>
  <c r="C14" i="8"/>
  <c r="B14" i="8"/>
  <c r="K21" i="8"/>
  <c r="L21" i="8"/>
  <c r="G15" i="8"/>
  <c r="H14" i="8"/>
  <c r="L12" i="8"/>
  <c r="K20" i="8"/>
  <c r="M19" i="8"/>
  <c r="D19" i="8"/>
  <c r="G14" i="8"/>
  <c r="E22" i="8"/>
  <c r="J20" i="8"/>
  <c r="L19" i="8"/>
  <c r="C19" i="8"/>
  <c r="G20" i="18"/>
  <c r="G21" i="18"/>
  <c r="F23" i="18"/>
  <c r="G18" i="18"/>
  <c r="F22" i="18"/>
  <c r="B19" i="8"/>
  <c r="M30" i="13"/>
  <c r="M8" i="8" s="1"/>
  <c r="K30" i="13"/>
  <c r="K8" i="8" s="1"/>
  <c r="M28" i="13"/>
  <c r="M6" i="8" s="1"/>
  <c r="H31" i="13"/>
  <c r="H9" i="8" s="1"/>
  <c r="C31" i="13"/>
  <c r="C9" i="8" s="1"/>
  <c r="B31" i="13"/>
  <c r="B9" i="8" s="1"/>
  <c r="B27" i="13"/>
  <c r="D28" i="13"/>
  <c r="D6" i="8" s="1"/>
  <c r="K46" i="13"/>
  <c r="K24" i="8" s="1"/>
  <c r="M39" i="13"/>
  <c r="M17" i="8" s="1"/>
  <c r="D39" i="13"/>
  <c r="D17" i="8" s="1"/>
  <c r="B12" i="8"/>
  <c r="B30" i="13"/>
  <c r="B8" i="8" s="1"/>
  <c r="M29" i="13"/>
  <c r="M7" i="8" s="1"/>
  <c r="C28" i="13"/>
  <c r="C6" i="8" s="1"/>
  <c r="I29" i="13"/>
  <c r="I7" i="8" s="1"/>
  <c r="E27" i="13"/>
  <c r="E5" i="8" s="1"/>
  <c r="G28" i="13"/>
  <c r="G6" i="8" s="1"/>
  <c r="C29" i="13"/>
  <c r="C7" i="8" s="1"/>
  <c r="I31" i="13"/>
  <c r="I9" i="8" s="1"/>
  <c r="D46" i="13"/>
  <c r="D24" i="8" s="1"/>
  <c r="E29" i="13"/>
  <c r="E7" i="8" s="1"/>
  <c r="L28" i="13"/>
  <c r="L6" i="8" s="1"/>
  <c r="L31" i="13"/>
  <c r="L9" i="8" s="1"/>
  <c r="M46" i="13"/>
  <c r="M24" i="8" s="1"/>
  <c r="B29" i="13"/>
  <c r="B7" i="8" s="1"/>
  <c r="D29" i="13"/>
  <c r="D7" i="8" s="1"/>
  <c r="H28" i="13"/>
  <c r="H6" i="8" s="1"/>
  <c r="K31" i="13"/>
  <c r="K9" i="8" s="1"/>
  <c r="L29" i="13"/>
  <c r="L7" i="8" s="1"/>
  <c r="J30" i="13"/>
  <c r="J8" i="8" s="1"/>
  <c r="J27" i="13"/>
  <c r="J5" i="8" s="1"/>
  <c r="G46" i="13"/>
  <c r="G24" i="8" s="1"/>
  <c r="K29" i="13"/>
  <c r="K7" i="8" s="1"/>
  <c r="E30" i="13"/>
  <c r="E8" i="8" s="1"/>
  <c r="G27" i="13"/>
  <c r="G5" i="8" s="1"/>
  <c r="L39" i="13"/>
  <c r="L17" i="8" s="1"/>
  <c r="H29" i="13"/>
  <c r="H7" i="8" s="1"/>
  <c r="D30" i="13"/>
  <c r="D8" i="8" s="1"/>
  <c r="I27" i="13"/>
  <c r="I5" i="8" s="1"/>
  <c r="B39" i="13"/>
  <c r="B17" i="8" s="1"/>
  <c r="B46" i="13"/>
  <c r="B24" i="8" s="1"/>
  <c r="L46" i="13"/>
  <c r="L24" i="8" s="1"/>
  <c r="C46" i="13"/>
  <c r="C24" i="8" s="1"/>
  <c r="H39" i="13"/>
  <c r="H17" i="8" s="1"/>
  <c r="E46" i="13"/>
  <c r="E24" i="8" s="1"/>
  <c r="I39" i="13"/>
  <c r="I17" i="8" s="1"/>
  <c r="K39" i="13"/>
  <c r="K17" i="8" s="1"/>
  <c r="H46" i="13"/>
  <c r="H24" i="8" s="1"/>
  <c r="J29" i="13"/>
  <c r="J7" i="8" s="1"/>
  <c r="L30" i="13"/>
  <c r="L8" i="8" s="1"/>
  <c r="C30" i="13"/>
  <c r="C8" i="8" s="1"/>
  <c r="E28" i="13"/>
  <c r="E6" i="8" s="1"/>
  <c r="H27" i="13"/>
  <c r="H5" i="8" s="1"/>
  <c r="J31" i="13"/>
  <c r="J9" i="8" s="1"/>
  <c r="I46" i="13"/>
  <c r="I24" i="8" s="1"/>
  <c r="B28" i="13"/>
  <c r="B6" i="8" s="1"/>
  <c r="G29" i="13"/>
  <c r="G7" i="8" s="1"/>
  <c r="I30" i="13"/>
  <c r="I8" i="8" s="1"/>
  <c r="K28" i="13"/>
  <c r="K6" i="8" s="1"/>
  <c r="M27" i="13"/>
  <c r="M5" i="8" s="1"/>
  <c r="D27" i="13"/>
  <c r="D5" i="8" s="1"/>
  <c r="G31" i="13"/>
  <c r="G9" i="8" s="1"/>
  <c r="E39" i="13"/>
  <c r="E17" i="8" s="1"/>
  <c r="C39" i="13"/>
  <c r="C17" i="8" s="1"/>
  <c r="H30" i="13"/>
  <c r="H8" i="8" s="1"/>
  <c r="J28" i="13"/>
  <c r="J6" i="8" s="1"/>
  <c r="L27" i="13"/>
  <c r="L5" i="8" s="1"/>
  <c r="C27" i="13"/>
  <c r="C5" i="8" s="1"/>
  <c r="E31" i="13"/>
  <c r="E9" i="8" s="1"/>
  <c r="G39" i="13"/>
  <c r="G17" i="8" s="1"/>
  <c r="J46" i="13"/>
  <c r="J24" i="8" s="1"/>
  <c r="G30" i="13"/>
  <c r="G8" i="8" s="1"/>
  <c r="I28" i="13"/>
  <c r="I6" i="8" s="1"/>
  <c r="K27" i="13"/>
  <c r="K5" i="8" s="1"/>
  <c r="M31" i="13"/>
  <c r="M9" i="8" s="1"/>
  <c r="C29" i="4"/>
  <c r="D29" i="4"/>
  <c r="E29" i="4"/>
  <c r="G29" i="4"/>
  <c r="H29" i="4"/>
  <c r="I29" i="4"/>
  <c r="J29" i="4"/>
  <c r="K29" i="4"/>
  <c r="L29" i="4"/>
  <c r="M29" i="4"/>
  <c r="B29" i="4"/>
  <c r="B5" i="3"/>
  <c r="C5" i="3"/>
  <c r="D5" i="3"/>
  <c r="E5" i="3"/>
  <c r="B6" i="3"/>
  <c r="C6" i="3"/>
  <c r="D6" i="3"/>
  <c r="E6" i="3"/>
  <c r="G6" i="3"/>
  <c r="H6" i="3"/>
  <c r="I6" i="3"/>
  <c r="J6" i="3"/>
  <c r="K6" i="3"/>
  <c r="L6" i="3"/>
  <c r="M6" i="3"/>
  <c r="B7" i="3"/>
  <c r="C7" i="3"/>
  <c r="D7" i="3"/>
  <c r="E7" i="3"/>
  <c r="G7" i="3"/>
  <c r="H7" i="3"/>
  <c r="I7" i="3"/>
  <c r="J7" i="3"/>
  <c r="L7" i="3"/>
  <c r="M7" i="3"/>
  <c r="B8" i="3"/>
  <c r="C8" i="3"/>
  <c r="D8" i="3"/>
  <c r="E8" i="3"/>
  <c r="G8" i="3"/>
  <c r="H8" i="3"/>
  <c r="I8" i="3"/>
  <c r="J8" i="3"/>
  <c r="L8" i="3"/>
  <c r="M8" i="3"/>
  <c r="B9" i="3"/>
  <c r="C9" i="3"/>
  <c r="D9" i="3"/>
  <c r="E9" i="3"/>
  <c r="G9" i="3"/>
  <c r="H9" i="3"/>
  <c r="I9" i="3"/>
  <c r="J9" i="3"/>
  <c r="L9" i="3"/>
  <c r="M9" i="3"/>
  <c r="B10" i="3"/>
  <c r="C10" i="3"/>
  <c r="D10" i="3"/>
  <c r="E10" i="3"/>
  <c r="G10" i="3"/>
  <c r="H10" i="3"/>
  <c r="I10" i="3"/>
  <c r="J10" i="3"/>
  <c r="L10" i="3"/>
  <c r="M10" i="3"/>
  <c r="B11" i="3"/>
  <c r="C11" i="3"/>
  <c r="D11" i="3"/>
  <c r="E11" i="3"/>
  <c r="B12" i="3"/>
  <c r="C12" i="3"/>
  <c r="D12" i="3"/>
  <c r="E12" i="3"/>
  <c r="G12" i="3"/>
  <c r="H12" i="3"/>
  <c r="I12" i="3"/>
  <c r="J12" i="3"/>
  <c r="K12" i="3"/>
  <c r="L12" i="3"/>
  <c r="M12" i="3"/>
  <c r="B13" i="3"/>
  <c r="C13" i="3"/>
  <c r="D13" i="3"/>
  <c r="E13" i="3"/>
  <c r="G13" i="3"/>
  <c r="H13" i="3"/>
  <c r="I13" i="3"/>
  <c r="J13" i="3"/>
  <c r="K13" i="3"/>
  <c r="L13" i="3"/>
  <c r="M13" i="3"/>
  <c r="B14" i="3"/>
  <c r="C14" i="3"/>
  <c r="D14" i="3"/>
  <c r="E14" i="3"/>
  <c r="G14" i="3"/>
  <c r="H14" i="3"/>
  <c r="I14" i="3"/>
  <c r="J14" i="3"/>
  <c r="K14" i="3"/>
  <c r="L14" i="3"/>
  <c r="M14" i="3"/>
  <c r="B15" i="3"/>
  <c r="C15" i="3"/>
  <c r="D15" i="3"/>
  <c r="E15" i="3"/>
  <c r="G15" i="3"/>
  <c r="H15" i="3"/>
  <c r="I15" i="3"/>
  <c r="J15" i="3"/>
  <c r="K15" i="3"/>
  <c r="L15" i="3"/>
  <c r="M15" i="3"/>
  <c r="B16" i="3"/>
  <c r="C16" i="3"/>
  <c r="D16" i="3"/>
  <c r="E16" i="3"/>
  <c r="B17" i="3"/>
  <c r="C17" i="3"/>
  <c r="D17" i="3"/>
  <c r="E17" i="3"/>
  <c r="G17" i="3"/>
  <c r="H17" i="3"/>
  <c r="I17" i="3"/>
  <c r="J17" i="3"/>
  <c r="K17" i="3"/>
  <c r="L17" i="3"/>
  <c r="M17" i="3"/>
  <c r="B18" i="3"/>
  <c r="C18" i="3"/>
  <c r="D18" i="3"/>
  <c r="E18" i="3"/>
  <c r="G18" i="3"/>
  <c r="H18" i="3"/>
  <c r="I18" i="3"/>
  <c r="J18" i="3"/>
  <c r="K18" i="3"/>
  <c r="L18" i="3"/>
  <c r="M18" i="3"/>
  <c r="B19" i="3"/>
  <c r="C19" i="3"/>
  <c r="D19" i="3"/>
  <c r="E19" i="3"/>
  <c r="G19" i="3"/>
  <c r="H19" i="3"/>
  <c r="I19" i="3"/>
  <c r="J19" i="3"/>
  <c r="K19" i="3"/>
  <c r="L19" i="3"/>
  <c r="M19" i="3"/>
  <c r="B20" i="3"/>
  <c r="C20" i="3"/>
  <c r="D20" i="3"/>
  <c r="E20" i="3"/>
  <c r="G20" i="3"/>
  <c r="H20" i="3"/>
  <c r="I20" i="3"/>
  <c r="J20" i="3"/>
  <c r="K20" i="3"/>
  <c r="L20" i="3"/>
  <c r="M20" i="3"/>
  <c r="B21" i="3"/>
  <c r="C21" i="3"/>
  <c r="D21" i="3"/>
  <c r="E21" i="3"/>
  <c r="C4" i="3"/>
  <c r="D4" i="3"/>
  <c r="E4" i="3"/>
  <c r="G4" i="3"/>
  <c r="H4" i="3"/>
  <c r="I4" i="3"/>
  <c r="J4" i="3"/>
  <c r="K4" i="3"/>
  <c r="L4" i="3"/>
  <c r="M4" i="3"/>
  <c r="B4" i="3"/>
  <c r="O29" i="4" l="1"/>
  <c r="P11" i="19"/>
  <c r="R11" i="19" s="1"/>
  <c r="D26" i="25" s="1"/>
  <c r="O11" i="19"/>
  <c r="B5" i="8"/>
  <c r="K32" i="13"/>
  <c r="K10" i="8" s="1"/>
  <c r="B32" i="13"/>
  <c r="B10" i="8" s="1"/>
  <c r="D32" i="13"/>
  <c r="D10" i="8" s="1"/>
  <c r="L32" i="13"/>
  <c r="L10" i="8" s="1"/>
  <c r="C32" i="13"/>
  <c r="C10" i="8" s="1"/>
  <c r="M32" i="13"/>
  <c r="M10" i="8" s="1"/>
  <c r="J32" i="13"/>
  <c r="J10" i="8" s="1"/>
  <c r="E32" i="13"/>
  <c r="E10" i="8" s="1"/>
  <c r="G32" i="13"/>
  <c r="G10" i="8" s="1"/>
  <c r="I32" i="13"/>
  <c r="I10" i="8" s="1"/>
  <c r="H32" i="13"/>
  <c r="H10" i="8" s="1"/>
  <c r="P29" i="4"/>
  <c r="O10" i="3"/>
  <c r="P20" i="3"/>
  <c r="O19" i="3"/>
  <c r="P15" i="3"/>
  <c r="O14" i="3"/>
  <c r="P11" i="3"/>
  <c r="P21" i="3"/>
  <c r="P16" i="3"/>
  <c r="O18" i="3"/>
  <c r="P12" i="3"/>
  <c r="P19" i="4"/>
  <c r="P4" i="3"/>
  <c r="P4" i="4"/>
  <c r="O6" i="3"/>
  <c r="P17" i="3"/>
  <c r="P9" i="3"/>
  <c r="P10" i="4"/>
  <c r="I2" i="5"/>
  <c r="O7" i="4"/>
  <c r="G28" i="4"/>
  <c r="G30" i="4" s="1"/>
  <c r="G31" i="4" s="1"/>
  <c r="G32" i="4" s="1"/>
  <c r="P5" i="4"/>
  <c r="P16" i="4"/>
  <c r="E28" i="4"/>
  <c r="E30" i="4" s="1"/>
  <c r="E31" i="4" s="1"/>
  <c r="E32" i="4" s="1"/>
  <c r="M28" i="4"/>
  <c r="M30" i="4" s="1"/>
  <c r="M31" i="4" s="1"/>
  <c r="D28" i="4"/>
  <c r="D30" i="4" s="1"/>
  <c r="D31" i="4" s="1"/>
  <c r="D32" i="4" s="1"/>
  <c r="G2" i="5"/>
  <c r="O13" i="4"/>
  <c r="P13" i="4"/>
  <c r="O15" i="4"/>
  <c r="M2" i="5"/>
  <c r="L2" i="5"/>
  <c r="O12" i="4"/>
  <c r="J28" i="4"/>
  <c r="J30" i="4" s="1"/>
  <c r="J31" i="4" s="1"/>
  <c r="J32" i="4" s="1"/>
  <c r="O5" i="4"/>
  <c r="K28" i="4"/>
  <c r="K30" i="4" s="1"/>
  <c r="K31" i="4" s="1"/>
  <c r="K32" i="4" s="1"/>
  <c r="C2" i="5"/>
  <c r="K2" i="5"/>
  <c r="O19" i="4"/>
  <c r="I28" i="4"/>
  <c r="I30" i="4" s="1"/>
  <c r="I31" i="4" s="1"/>
  <c r="I32" i="4" s="1"/>
  <c r="H2" i="5"/>
  <c r="D2" i="5"/>
  <c r="O20" i="4"/>
  <c r="J2" i="5"/>
  <c r="G10" i="6"/>
  <c r="O8" i="4"/>
  <c r="H28" i="4"/>
  <c r="H30" i="4" s="1"/>
  <c r="H31" i="4" s="1"/>
  <c r="H32" i="4" s="1"/>
  <c r="P8" i="3"/>
  <c r="O21" i="3"/>
  <c r="O17" i="3"/>
  <c r="O13" i="3"/>
  <c r="O9" i="3"/>
  <c r="O5" i="3"/>
  <c r="O17" i="4"/>
  <c r="P12" i="4"/>
  <c r="C28" i="4"/>
  <c r="C30" i="4" s="1"/>
  <c r="C31" i="4" s="1"/>
  <c r="C32" i="4" s="1"/>
  <c r="L28" i="4"/>
  <c r="L30" i="4" s="1"/>
  <c r="L31" i="4" s="1"/>
  <c r="L32" i="4" s="1"/>
  <c r="O20" i="3"/>
  <c r="O16" i="3"/>
  <c r="O12" i="3"/>
  <c r="O8" i="3"/>
  <c r="P15" i="4"/>
  <c r="O6" i="4"/>
  <c r="P19" i="3"/>
  <c r="P7" i="3"/>
  <c r="O9" i="4"/>
  <c r="B2" i="5"/>
  <c r="O15" i="3"/>
  <c r="O11" i="3"/>
  <c r="O7" i="3"/>
  <c r="O4" i="4"/>
  <c r="E2" i="5"/>
  <c r="O4" i="3"/>
  <c r="P18" i="3"/>
  <c r="P14" i="3"/>
  <c r="P10" i="3"/>
  <c r="P6" i="3"/>
  <c r="P18" i="4"/>
  <c r="O21" i="4"/>
  <c r="P8" i="4"/>
  <c r="G8" i="6"/>
  <c r="P13" i="3"/>
  <c r="P5" i="3"/>
  <c r="P21" i="4"/>
  <c r="P7" i="4"/>
  <c r="O16" i="4"/>
  <c r="G14" i="6" l="1"/>
  <c r="G18" i="6"/>
  <c r="G7" i="6"/>
  <c r="G4" i="6"/>
  <c r="G4" i="7" s="1"/>
  <c r="G13" i="6"/>
  <c r="G14" i="7" s="1"/>
  <c r="G13" i="10" s="1"/>
  <c r="D12" i="6"/>
  <c r="D9" i="6"/>
  <c r="D5" i="6"/>
  <c r="D7" i="6"/>
  <c r="D14" i="6"/>
  <c r="D8" i="6"/>
  <c r="D4" i="6"/>
  <c r="D4" i="7" s="1"/>
  <c r="C3" i="5"/>
  <c r="C3" i="11"/>
  <c r="G19" i="6"/>
  <c r="G21" i="7" s="1"/>
  <c r="G22" i="10" s="1"/>
  <c r="I20" i="6"/>
  <c r="G17" i="6"/>
  <c r="G19" i="7" s="1"/>
  <c r="G20" i="10" s="1"/>
  <c r="J9" i="6"/>
  <c r="G3" i="5"/>
  <c r="G3" i="11"/>
  <c r="L3" i="5"/>
  <c r="L3" i="11"/>
  <c r="H3" i="5"/>
  <c r="H3" i="11"/>
  <c r="K3" i="5"/>
  <c r="K3" i="11"/>
  <c r="G6" i="6"/>
  <c r="G6" i="7" s="1"/>
  <c r="J3" i="5"/>
  <c r="J3" i="11"/>
  <c r="E3" i="5"/>
  <c r="E3" i="11"/>
  <c r="O10" i="4"/>
  <c r="J17" i="6"/>
  <c r="I3" i="5"/>
  <c r="I3" i="11"/>
  <c r="D3" i="5"/>
  <c r="D3" i="11"/>
  <c r="Q11" i="19"/>
  <c r="D9" i="25" s="1"/>
  <c r="M9" i="25" s="1"/>
  <c r="B26" i="25"/>
  <c r="K26" i="25" s="1"/>
  <c r="B9" i="25"/>
  <c r="K9" i="25" s="1"/>
  <c r="I17" i="6"/>
  <c r="I7" i="6"/>
  <c r="D11" i="6"/>
  <c r="D19" i="6"/>
  <c r="D17" i="6"/>
  <c r="G10" i="7"/>
  <c r="G7" i="10" s="1"/>
  <c r="G8" i="7"/>
  <c r="G5" i="10" s="1"/>
  <c r="D16" i="6"/>
  <c r="C9" i="6"/>
  <c r="G9" i="6"/>
  <c r="G9" i="7" s="1"/>
  <c r="G6" i="10" s="1"/>
  <c r="G8" i="11" s="1"/>
  <c r="G8" i="19" s="1"/>
  <c r="J10" i="6"/>
  <c r="D21" i="6"/>
  <c r="G7" i="7"/>
  <c r="G4" i="10" s="1"/>
  <c r="D20" i="6"/>
  <c r="G12" i="6"/>
  <c r="G13" i="7" s="1"/>
  <c r="G12" i="10" s="1"/>
  <c r="G20" i="6"/>
  <c r="G22" i="7" s="1"/>
  <c r="G23" i="10" s="1"/>
  <c r="H4" i="6"/>
  <c r="H4" i="7" s="1"/>
  <c r="K14" i="6"/>
  <c r="H19" i="6"/>
  <c r="H12" i="6"/>
  <c r="D13" i="6"/>
  <c r="I19" i="6"/>
  <c r="H18" i="6"/>
  <c r="E4" i="6"/>
  <c r="E4" i="7" s="1"/>
  <c r="I15" i="6"/>
  <c r="I13" i="6"/>
  <c r="H10" i="6"/>
  <c r="H6" i="6"/>
  <c r="K17" i="6"/>
  <c r="E5" i="6"/>
  <c r="C14" i="6"/>
  <c r="I9" i="6"/>
  <c r="E13" i="6"/>
  <c r="M32" i="4"/>
  <c r="M10" i="6"/>
  <c r="M14" i="6"/>
  <c r="M15" i="6"/>
  <c r="M19" i="6"/>
  <c r="M9" i="6"/>
  <c r="M13" i="6"/>
  <c r="M7" i="6"/>
  <c r="M20" i="6"/>
  <c r="M12" i="6"/>
  <c r="M18" i="6"/>
  <c r="M6" i="6"/>
  <c r="M17" i="6"/>
  <c r="M4" i="6"/>
  <c r="M4" i="7" s="1"/>
  <c r="M8" i="6"/>
  <c r="L10" i="6"/>
  <c r="K19" i="6"/>
  <c r="I12" i="6"/>
  <c r="E8" i="6"/>
  <c r="L19" i="6"/>
  <c r="K6" i="6"/>
  <c r="I10" i="6"/>
  <c r="J15" i="6"/>
  <c r="H7" i="6"/>
  <c r="L15" i="6"/>
  <c r="K18" i="6"/>
  <c r="E12" i="6"/>
  <c r="O11" i="4"/>
  <c r="D18" i="6"/>
  <c r="C7" i="6"/>
  <c r="E6" i="6"/>
  <c r="P11" i="4"/>
  <c r="P14" i="4"/>
  <c r="C6" i="6"/>
  <c r="C17" i="6"/>
  <c r="E11" i="6"/>
  <c r="K12" i="6"/>
  <c r="K15" i="6"/>
  <c r="J18" i="6"/>
  <c r="K13" i="6"/>
  <c r="J7" i="6"/>
  <c r="C18" i="6"/>
  <c r="J19" i="6"/>
  <c r="B28" i="4"/>
  <c r="E14" i="6"/>
  <c r="H15" i="6"/>
  <c r="P17" i="4"/>
  <c r="E16" i="6"/>
  <c r="L17" i="6"/>
  <c r="J12" i="6"/>
  <c r="K4" i="6"/>
  <c r="K4" i="7" s="1"/>
  <c r="J6" i="6"/>
  <c r="H13" i="6"/>
  <c r="I18" i="6"/>
  <c r="J13" i="6"/>
  <c r="H14" i="6"/>
  <c r="H8" i="6"/>
  <c r="L7" i="6"/>
  <c r="C13" i="6"/>
  <c r="L18" i="6"/>
  <c r="J8" i="6"/>
  <c r="J14" i="6"/>
  <c r="L14" i="6"/>
  <c r="L6" i="6"/>
  <c r="L12" i="6"/>
  <c r="H20" i="6"/>
  <c r="L8" i="6"/>
  <c r="E18" i="6"/>
  <c r="I6" i="6"/>
  <c r="C4" i="6"/>
  <c r="C4" i="7" s="1"/>
  <c r="J20" i="6"/>
  <c r="K20" i="6"/>
  <c r="C20" i="6"/>
  <c r="D15" i="6"/>
  <c r="E9" i="6"/>
  <c r="I8" i="6"/>
  <c r="L13" i="6"/>
  <c r="H9" i="6"/>
  <c r="G15" i="6"/>
  <c r="G16" i="7" s="1"/>
  <c r="G15" i="10" s="1"/>
  <c r="G17" i="11" s="1"/>
  <c r="G18" i="19" s="1"/>
  <c r="C21" i="6"/>
  <c r="E20" i="6"/>
  <c r="E7" i="6"/>
  <c r="C19" i="6"/>
  <c r="O14" i="4"/>
  <c r="L4" i="6"/>
  <c r="L4" i="7" s="1"/>
  <c r="C15" i="6"/>
  <c r="P20" i="4"/>
  <c r="C10" i="6"/>
  <c r="I14" i="6"/>
  <c r="E10" i="6"/>
  <c r="C16" i="6"/>
  <c r="I4" i="6"/>
  <c r="I4" i="7" s="1"/>
  <c r="E21" i="6"/>
  <c r="P6" i="4"/>
  <c r="O2" i="5"/>
  <c r="C12" i="6"/>
  <c r="O18" i="4"/>
  <c r="P9" i="4"/>
  <c r="C5" i="6"/>
  <c r="J4" i="6"/>
  <c r="J4" i="7" s="1"/>
  <c r="C8" i="6"/>
  <c r="L9" i="6"/>
  <c r="E19" i="6"/>
  <c r="L20" i="6"/>
  <c r="E17" i="6"/>
  <c r="D6" i="6"/>
  <c r="D10" i="6"/>
  <c r="E15" i="6"/>
  <c r="C11" i="6"/>
  <c r="H17" i="6"/>
  <c r="P2" i="5"/>
  <c r="G20" i="7" l="1"/>
  <c r="G21" i="10" s="1"/>
  <c r="G23" i="11" s="1"/>
  <c r="G24" i="19" s="1"/>
  <c r="D7" i="7"/>
  <c r="D4" i="10" s="1"/>
  <c r="D6" i="11" s="1"/>
  <c r="D6" i="19" s="1"/>
  <c r="G15" i="7"/>
  <c r="G14" i="10" s="1"/>
  <c r="G16" i="11" s="1"/>
  <c r="G17" i="19" s="1"/>
  <c r="G14" i="11"/>
  <c r="G15" i="19" s="1"/>
  <c r="D11" i="7"/>
  <c r="D8" i="10" s="1"/>
  <c r="D10" i="11" s="1"/>
  <c r="D8" i="7"/>
  <c r="D5" i="10" s="1"/>
  <c r="D7" i="11" s="1"/>
  <c r="D7" i="19" s="1"/>
  <c r="G25" i="11"/>
  <c r="G26" i="19" s="1"/>
  <c r="D13" i="7"/>
  <c r="D12" i="10" s="1"/>
  <c r="D14" i="11" s="1"/>
  <c r="D15" i="19" s="1"/>
  <c r="D17" i="7"/>
  <c r="D16" i="10" s="1"/>
  <c r="D18" i="11" s="1"/>
  <c r="D14" i="7"/>
  <c r="D13" i="10" s="1"/>
  <c r="D15" i="11" s="1"/>
  <c r="D16" i="19" s="1"/>
  <c r="D10" i="7"/>
  <c r="D7" i="10" s="1"/>
  <c r="D9" i="11" s="1"/>
  <c r="D9" i="19" s="1"/>
  <c r="G24" i="11"/>
  <c r="G25" i="19" s="1"/>
  <c r="D15" i="7"/>
  <c r="D14" i="10" s="1"/>
  <c r="D22" i="7"/>
  <c r="D23" i="10" s="1"/>
  <c r="D25" i="11" s="1"/>
  <c r="D26" i="19" s="1"/>
  <c r="G7" i="11"/>
  <c r="G7" i="19" s="1"/>
  <c r="D9" i="7"/>
  <c r="D6" i="10" s="1"/>
  <c r="D8" i="11" s="1"/>
  <c r="D8" i="19" s="1"/>
  <c r="G15" i="11"/>
  <c r="G16" i="19" s="1"/>
  <c r="D5" i="7"/>
  <c r="G6" i="11"/>
  <c r="G6" i="19" s="1"/>
  <c r="G9" i="11"/>
  <c r="G9" i="19" s="1"/>
  <c r="D16" i="7"/>
  <c r="D15" i="10" s="1"/>
  <c r="D17" i="11" s="1"/>
  <c r="D18" i="19" s="1"/>
  <c r="D23" i="7"/>
  <c r="D19" i="7"/>
  <c r="D20" i="10" s="1"/>
  <c r="D22" i="11" s="1"/>
  <c r="D23" i="19" s="1"/>
  <c r="D6" i="7"/>
  <c r="D20" i="7"/>
  <c r="D21" i="10" s="1"/>
  <c r="D23" i="11" s="1"/>
  <c r="D24" i="19" s="1"/>
  <c r="G22" i="11"/>
  <c r="G23" i="19" s="1"/>
  <c r="D21" i="7"/>
  <c r="D22" i="10" s="1"/>
  <c r="D24" i="11" s="1"/>
  <c r="D25" i="19" s="1"/>
  <c r="E22" i="7"/>
  <c r="E23" i="10" s="1"/>
  <c r="E25" i="11" s="1"/>
  <c r="E26" i="19" s="1"/>
  <c r="D16" i="11"/>
  <c r="D17" i="19" s="1"/>
  <c r="M3" i="5"/>
  <c r="M3" i="11"/>
  <c r="H19" i="7"/>
  <c r="H20" i="10" s="1"/>
  <c r="H22" i="11" s="1"/>
  <c r="H23" i="19" s="1"/>
  <c r="C8" i="7"/>
  <c r="C5" i="10" s="1"/>
  <c r="C7" i="11" s="1"/>
  <c r="C7" i="19" s="1"/>
  <c r="H8" i="7"/>
  <c r="H5" i="10" s="1"/>
  <c r="H7" i="11" s="1"/>
  <c r="H7" i="19" s="1"/>
  <c r="E5" i="7"/>
  <c r="C11" i="7"/>
  <c r="K19" i="7"/>
  <c r="K20" i="10" s="1"/>
  <c r="K22" i="11" s="1"/>
  <c r="K23" i="19" s="1"/>
  <c r="H9" i="7"/>
  <c r="H6" i="10" s="1"/>
  <c r="H8" i="11" s="1"/>
  <c r="H8" i="19" s="1"/>
  <c r="H20" i="7"/>
  <c r="H21" i="10" s="1"/>
  <c r="H23" i="11" s="1"/>
  <c r="H24" i="19" s="1"/>
  <c r="C17" i="7"/>
  <c r="C16" i="10" s="1"/>
  <c r="C18" i="11" s="1"/>
  <c r="H16" i="7"/>
  <c r="H15" i="10" s="1"/>
  <c r="H17" i="11" s="1"/>
  <c r="H18" i="19" s="1"/>
  <c r="H10" i="7"/>
  <c r="H7" i="10" s="1"/>
  <c r="H9" i="11" s="1"/>
  <c r="H9" i="19" s="1"/>
  <c r="E23" i="7"/>
  <c r="K22" i="7"/>
  <c r="K23" i="10" s="1"/>
  <c r="K25" i="11" s="1"/>
  <c r="K26" i="19" s="1"/>
  <c r="M6" i="7"/>
  <c r="M16" i="7"/>
  <c r="M15" i="10" s="1"/>
  <c r="C15" i="7"/>
  <c r="C14" i="10" s="1"/>
  <c r="C16" i="11" s="1"/>
  <c r="C17" i="19" s="1"/>
  <c r="E17" i="7"/>
  <c r="E16" i="10" s="1"/>
  <c r="E18" i="11" s="1"/>
  <c r="E19" i="7"/>
  <c r="E20" i="10" s="1"/>
  <c r="E22" i="11" s="1"/>
  <c r="E23" i="19" s="1"/>
  <c r="E10" i="7"/>
  <c r="E7" i="10" s="1"/>
  <c r="E9" i="11" s="1"/>
  <c r="E9" i="19" s="1"/>
  <c r="C21" i="7"/>
  <c r="C22" i="10" s="1"/>
  <c r="C24" i="11" s="1"/>
  <c r="C25" i="19" s="1"/>
  <c r="E9" i="7"/>
  <c r="E6" i="10" s="1"/>
  <c r="E8" i="11" s="1"/>
  <c r="E8" i="19" s="1"/>
  <c r="E20" i="7"/>
  <c r="E21" i="10" s="1"/>
  <c r="E23" i="11" s="1"/>
  <c r="E24" i="19" s="1"/>
  <c r="E6" i="7"/>
  <c r="M7" i="7"/>
  <c r="M4" i="10" s="1"/>
  <c r="E14" i="7"/>
  <c r="E13" i="10" s="1"/>
  <c r="E15" i="11" s="1"/>
  <c r="E16" i="19" s="1"/>
  <c r="C13" i="7"/>
  <c r="C12" i="10" s="1"/>
  <c r="C14" i="11" s="1"/>
  <c r="C15" i="19" s="1"/>
  <c r="E15" i="7"/>
  <c r="E14" i="10" s="1"/>
  <c r="E16" i="11" s="1"/>
  <c r="E17" i="19" s="1"/>
  <c r="M8" i="7"/>
  <c r="M5" i="10" s="1"/>
  <c r="M14" i="7"/>
  <c r="M13" i="10" s="1"/>
  <c r="L22" i="7"/>
  <c r="L23" i="10" s="1"/>
  <c r="L25" i="11" s="1"/>
  <c r="L26" i="19" s="1"/>
  <c r="H15" i="7"/>
  <c r="H14" i="10" s="1"/>
  <c r="H16" i="11" s="1"/>
  <c r="H17" i="19" s="1"/>
  <c r="E21" i="7"/>
  <c r="E22" i="10" s="1"/>
  <c r="E24" i="11" s="1"/>
  <c r="E25" i="19" s="1"/>
  <c r="E7" i="7"/>
  <c r="E4" i="10" s="1"/>
  <c r="E6" i="11" s="1"/>
  <c r="E6" i="19" s="1"/>
  <c r="E13" i="7"/>
  <c r="E12" i="10" s="1"/>
  <c r="E14" i="11" s="1"/>
  <c r="E15" i="19" s="1"/>
  <c r="E8" i="7"/>
  <c r="E5" i="10" s="1"/>
  <c r="E7" i="11" s="1"/>
  <c r="E7" i="19" s="1"/>
  <c r="M19" i="7"/>
  <c r="M20" i="10" s="1"/>
  <c r="C10" i="7"/>
  <c r="C7" i="10" s="1"/>
  <c r="C9" i="11" s="1"/>
  <c r="C9" i="19" s="1"/>
  <c r="C9" i="7"/>
  <c r="C6" i="10" s="1"/>
  <c r="C8" i="11" s="1"/>
  <c r="C8" i="19" s="1"/>
  <c r="E16" i="7"/>
  <c r="E15" i="10" s="1"/>
  <c r="E17" i="11" s="1"/>
  <c r="E18" i="19" s="1"/>
  <c r="C22" i="7"/>
  <c r="C23" i="10" s="1"/>
  <c r="C25" i="11" s="1"/>
  <c r="C26" i="19" s="1"/>
  <c r="H22" i="7"/>
  <c r="H23" i="10" s="1"/>
  <c r="H25" i="11" s="1"/>
  <c r="H26" i="19" s="1"/>
  <c r="K13" i="7"/>
  <c r="K12" i="10" s="1"/>
  <c r="K14" i="11" s="1"/>
  <c r="K15" i="19" s="1"/>
  <c r="H13" i="7"/>
  <c r="H12" i="10" s="1"/>
  <c r="H14" i="11" s="1"/>
  <c r="H15" i="19" s="1"/>
  <c r="H7" i="7"/>
  <c r="H4" i="10" s="1"/>
  <c r="H6" i="11" s="1"/>
  <c r="H6" i="19" s="1"/>
  <c r="H21" i="7"/>
  <c r="H22" i="10" s="1"/>
  <c r="H24" i="11" s="1"/>
  <c r="H25" i="19" s="1"/>
  <c r="M13" i="7"/>
  <c r="M12" i="10" s="1"/>
  <c r="M10" i="7"/>
  <c r="M7" i="10" s="1"/>
  <c r="L9" i="7"/>
  <c r="L6" i="10" s="1"/>
  <c r="L8" i="11" s="1"/>
  <c r="L8" i="19" s="1"/>
  <c r="H14" i="7"/>
  <c r="H13" i="10" s="1"/>
  <c r="H15" i="11" s="1"/>
  <c r="H16" i="19" s="1"/>
  <c r="C5" i="7"/>
  <c r="C16" i="7"/>
  <c r="C15" i="10" s="1"/>
  <c r="C17" i="11" s="1"/>
  <c r="C18" i="19" s="1"/>
  <c r="C23" i="7"/>
  <c r="E11" i="7"/>
  <c r="H6" i="7"/>
  <c r="I16" i="7"/>
  <c r="I15" i="10" s="1"/>
  <c r="I17" i="11" s="1"/>
  <c r="I18" i="19" s="1"/>
  <c r="L8" i="7"/>
  <c r="L5" i="10" s="1"/>
  <c r="L7" i="11" s="1"/>
  <c r="L7" i="19" s="1"/>
  <c r="J15" i="7"/>
  <c r="I20" i="7"/>
  <c r="I21" i="10" s="1"/>
  <c r="I23" i="11" s="1"/>
  <c r="I24" i="19" s="1"/>
  <c r="C19" i="7"/>
  <c r="C20" i="10" s="1"/>
  <c r="C22" i="11" s="1"/>
  <c r="C23" i="19" s="1"/>
  <c r="L10" i="7"/>
  <c r="L7" i="10" s="1"/>
  <c r="L9" i="11" s="1"/>
  <c r="L9" i="19" s="1"/>
  <c r="J8" i="7"/>
  <c r="J5" i="10" s="1"/>
  <c r="J7" i="11" s="1"/>
  <c r="J7" i="19" s="1"/>
  <c r="J7" i="7"/>
  <c r="J4" i="10" s="1"/>
  <c r="J6" i="11" s="1"/>
  <c r="J6" i="19" s="1"/>
  <c r="I7" i="7"/>
  <c r="I4" i="10" s="1"/>
  <c r="I6" i="11" s="1"/>
  <c r="I6" i="19" s="1"/>
  <c r="J10" i="7"/>
  <c r="J7" i="10" s="1"/>
  <c r="J9" i="11" s="1"/>
  <c r="J9" i="19" s="1"/>
  <c r="K20" i="7"/>
  <c r="K21" i="10" s="1"/>
  <c r="K23" i="11" s="1"/>
  <c r="K24" i="19" s="1"/>
  <c r="I13" i="7"/>
  <c r="I12" i="10" s="1"/>
  <c r="I14" i="11" s="1"/>
  <c r="I15" i="19" s="1"/>
  <c r="I9" i="7"/>
  <c r="I6" i="10" s="1"/>
  <c r="I8" i="11" s="1"/>
  <c r="I8" i="19" s="1"/>
  <c r="L13" i="7"/>
  <c r="L12" i="10" s="1"/>
  <c r="L14" i="11" s="1"/>
  <c r="L15" i="19" s="1"/>
  <c r="L20" i="7"/>
  <c r="L21" i="10" s="1"/>
  <c r="L23" i="11" s="1"/>
  <c r="L24" i="19" s="1"/>
  <c r="J6" i="7"/>
  <c r="K14" i="7"/>
  <c r="K13" i="10" s="1"/>
  <c r="K15" i="11" s="1"/>
  <c r="K16" i="19" s="1"/>
  <c r="C6" i="7"/>
  <c r="L16" i="7"/>
  <c r="L15" i="10" s="1"/>
  <c r="L17" i="11" s="1"/>
  <c r="L18" i="19" s="1"/>
  <c r="I14" i="7"/>
  <c r="I13" i="10" s="1"/>
  <c r="I15" i="11" s="1"/>
  <c r="I16" i="19" s="1"/>
  <c r="M9" i="7"/>
  <c r="M6" i="10" s="1"/>
  <c r="L6" i="7"/>
  <c r="C14" i="7"/>
  <c r="C13" i="10" s="1"/>
  <c r="C15" i="11" s="1"/>
  <c r="C16" i="19" s="1"/>
  <c r="J20" i="7"/>
  <c r="J21" i="10" s="1"/>
  <c r="J23" i="11" s="1"/>
  <c r="J24" i="19" s="1"/>
  <c r="C7" i="7"/>
  <c r="C4" i="10" s="1"/>
  <c r="C6" i="11" s="1"/>
  <c r="C6" i="19" s="1"/>
  <c r="I21" i="7"/>
  <c r="I22" i="10" s="1"/>
  <c r="I24" i="11" s="1"/>
  <c r="I25" i="19" s="1"/>
  <c r="M21" i="7"/>
  <c r="M22" i="10" s="1"/>
  <c r="J22" i="7"/>
  <c r="J23" i="10" s="1"/>
  <c r="J25" i="11" s="1"/>
  <c r="J26" i="19" s="1"/>
  <c r="L7" i="7"/>
  <c r="L4" i="10" s="1"/>
  <c r="L6" i="11" s="1"/>
  <c r="L6" i="19" s="1"/>
  <c r="J13" i="7"/>
  <c r="P28" i="4"/>
  <c r="O28" i="4"/>
  <c r="B30" i="4"/>
  <c r="K16" i="7"/>
  <c r="K15" i="10" s="1"/>
  <c r="K17" i="11" s="1"/>
  <c r="K18" i="19" s="1"/>
  <c r="J9" i="7"/>
  <c r="J6" i="10" s="1"/>
  <c r="J8" i="11" s="1"/>
  <c r="J8" i="19" s="1"/>
  <c r="J16" i="7"/>
  <c r="J19" i="7"/>
  <c r="J20" i="10" s="1"/>
  <c r="J22" i="11" s="1"/>
  <c r="J23" i="19" s="1"/>
  <c r="L14" i="7"/>
  <c r="L13" i="10" s="1"/>
  <c r="L15" i="11" s="1"/>
  <c r="L16" i="19" s="1"/>
  <c r="L15" i="7"/>
  <c r="L14" i="10" s="1"/>
  <c r="L16" i="11" s="1"/>
  <c r="L17" i="19" s="1"/>
  <c r="L19" i="7"/>
  <c r="L20" i="10" s="1"/>
  <c r="L22" i="11" s="1"/>
  <c r="L23" i="19" s="1"/>
  <c r="I10" i="7"/>
  <c r="I7" i="10" s="1"/>
  <c r="I9" i="11" s="1"/>
  <c r="I9" i="19" s="1"/>
  <c r="K21" i="7"/>
  <c r="K22" i="10" s="1"/>
  <c r="K24" i="11" s="1"/>
  <c r="K25" i="19" s="1"/>
  <c r="M20" i="7"/>
  <c r="M21" i="10" s="1"/>
  <c r="M15" i="7"/>
  <c r="M14" i="10" s="1"/>
  <c r="I6" i="7"/>
  <c r="I19" i="7"/>
  <c r="I20" i="10" s="1"/>
  <c r="I22" i="11" s="1"/>
  <c r="I23" i="19" s="1"/>
  <c r="J21" i="7"/>
  <c r="J22" i="10" s="1"/>
  <c r="J24" i="11" s="1"/>
  <c r="J25" i="19" s="1"/>
  <c r="K6" i="7"/>
  <c r="I15" i="7"/>
  <c r="I14" i="10" s="1"/>
  <c r="I16" i="11" s="1"/>
  <c r="I17" i="19" s="1"/>
  <c r="I8" i="7"/>
  <c r="I5" i="10" s="1"/>
  <c r="I7" i="11" s="1"/>
  <c r="I7" i="19" s="1"/>
  <c r="I22" i="7"/>
  <c r="I23" i="10" s="1"/>
  <c r="I25" i="11" s="1"/>
  <c r="I26" i="19" s="1"/>
  <c r="K15" i="7"/>
  <c r="K14" i="10" s="1"/>
  <c r="K16" i="11" s="1"/>
  <c r="K17" i="19" s="1"/>
  <c r="J14" i="7"/>
  <c r="C20" i="7"/>
  <c r="C21" i="10" s="1"/>
  <c r="C23" i="11" s="1"/>
  <c r="C24" i="19" s="1"/>
  <c r="L21" i="7"/>
  <c r="L22" i="10" s="1"/>
  <c r="L24" i="11" s="1"/>
  <c r="L25" i="19" s="1"/>
  <c r="M22" i="7"/>
  <c r="M23" i="10" s="1"/>
  <c r="D24" i="7" l="1"/>
  <c r="D25" i="10" s="1"/>
  <c r="D27" i="11" s="1"/>
  <c r="D27" i="19" s="1"/>
  <c r="D28" i="19" s="1"/>
  <c r="D24" i="10"/>
  <c r="D26" i="11" s="1"/>
  <c r="D12" i="7"/>
  <c r="D9" i="10" s="1"/>
  <c r="D11" i="11" s="1"/>
  <c r="D10" i="19" s="1"/>
  <c r="D12" i="19" s="1"/>
  <c r="M8" i="11"/>
  <c r="M8" i="19" s="1"/>
  <c r="M16" i="11"/>
  <c r="M17" i="19" s="1"/>
  <c r="M25" i="11"/>
  <c r="M26" i="19" s="1"/>
  <c r="M14" i="11"/>
  <c r="M15" i="19" s="1"/>
  <c r="D18" i="7"/>
  <c r="D17" i="10" s="1"/>
  <c r="D19" i="11" s="1"/>
  <c r="D19" i="19" s="1"/>
  <c r="D20" i="19" s="1"/>
  <c r="C24" i="7"/>
  <c r="C25" i="10" s="1"/>
  <c r="C27" i="11" s="1"/>
  <c r="C27" i="19" s="1"/>
  <c r="C28" i="19" s="1"/>
  <c r="C24" i="10"/>
  <c r="C26" i="11" s="1"/>
  <c r="M22" i="11"/>
  <c r="M23" i="19" s="1"/>
  <c r="M7" i="11"/>
  <c r="M7" i="19" s="1"/>
  <c r="E24" i="7"/>
  <c r="E25" i="10" s="1"/>
  <c r="E27" i="11" s="1"/>
  <c r="E27" i="19" s="1"/>
  <c r="E24" i="10"/>
  <c r="E26" i="11" s="1"/>
  <c r="M24" i="11"/>
  <c r="M25" i="19" s="1"/>
  <c r="M6" i="11"/>
  <c r="M6" i="19" s="1"/>
  <c r="M23" i="11"/>
  <c r="M24" i="19" s="1"/>
  <c r="M9" i="11"/>
  <c r="M9" i="19" s="1"/>
  <c r="M17" i="11"/>
  <c r="M18" i="19" s="1"/>
  <c r="M15" i="11"/>
  <c r="M16" i="19" s="1"/>
  <c r="C18" i="7"/>
  <c r="C17" i="10" s="1"/>
  <c r="C19" i="11" s="1"/>
  <c r="C19" i="19" s="1"/>
  <c r="C20" i="19" s="1"/>
  <c r="E18" i="7"/>
  <c r="E17" i="10" s="1"/>
  <c r="E19" i="11" s="1"/>
  <c r="E19" i="19" s="1"/>
  <c r="E20" i="19" s="1"/>
  <c r="E8" i="10"/>
  <c r="E10" i="11" s="1"/>
  <c r="E12" i="7"/>
  <c r="E9" i="10" s="1"/>
  <c r="E11" i="11" s="1"/>
  <c r="E10" i="19" s="1"/>
  <c r="E12" i="19" s="1"/>
  <c r="C8" i="10"/>
  <c r="C10" i="11" s="1"/>
  <c r="C12" i="7"/>
  <c r="C9" i="10" s="1"/>
  <c r="C11" i="11" s="1"/>
  <c r="C10" i="19" s="1"/>
  <c r="C12" i="19" s="1"/>
  <c r="B31" i="4"/>
  <c r="O30" i="4"/>
  <c r="P30" i="4"/>
  <c r="E28" i="19" l="1"/>
  <c r="B32" i="4"/>
  <c r="B3" i="11" s="1"/>
  <c r="O31" i="4"/>
  <c r="P31" i="4"/>
  <c r="B5" i="6"/>
  <c r="B15" i="6"/>
  <c r="B21" i="6"/>
  <c r="B20" i="6"/>
  <c r="B10" i="6"/>
  <c r="B4" i="6"/>
  <c r="B12" i="6"/>
  <c r="B7" i="6"/>
  <c r="B8" i="6"/>
  <c r="B19" i="6"/>
  <c r="B13" i="6"/>
  <c r="B11" i="6"/>
  <c r="B16" i="6"/>
  <c r="B9" i="6"/>
  <c r="B6" i="6"/>
  <c r="B14" i="6"/>
  <c r="B18" i="6"/>
  <c r="B17" i="6"/>
  <c r="P3" i="11" l="1"/>
  <c r="O3" i="11"/>
  <c r="P16" i="6"/>
  <c r="O16" i="6"/>
  <c r="B17" i="7"/>
  <c r="B16" i="10" s="1"/>
  <c r="B10" i="7"/>
  <c r="P10" i="6"/>
  <c r="O10" i="6"/>
  <c r="P20" i="6"/>
  <c r="B22" i="7"/>
  <c r="B23" i="10" s="1"/>
  <c r="O20" i="6"/>
  <c r="B14" i="7"/>
  <c r="B13" i="10" s="1"/>
  <c r="P13" i="6"/>
  <c r="O13" i="6"/>
  <c r="O21" i="6"/>
  <c r="P21" i="6"/>
  <c r="B23" i="7"/>
  <c r="P11" i="6"/>
  <c r="O11" i="6"/>
  <c r="B11" i="7"/>
  <c r="B19" i="7"/>
  <c r="B20" i="10" s="1"/>
  <c r="P17" i="6"/>
  <c r="O17" i="6"/>
  <c r="P19" i="6"/>
  <c r="B21" i="7"/>
  <c r="B22" i="10" s="1"/>
  <c r="O19" i="6"/>
  <c r="P15" i="6"/>
  <c r="O15" i="6"/>
  <c r="B16" i="7"/>
  <c r="B15" i="10" s="1"/>
  <c r="P8" i="6"/>
  <c r="B8" i="7"/>
  <c r="O8" i="6"/>
  <c r="B15" i="7"/>
  <c r="B14" i="10" s="1"/>
  <c r="P14" i="6"/>
  <c r="O14" i="6"/>
  <c r="P6" i="6"/>
  <c r="B6" i="7"/>
  <c r="O6" i="6"/>
  <c r="P12" i="6"/>
  <c r="B13" i="7"/>
  <c r="B12" i="10" s="1"/>
  <c r="O12" i="6"/>
  <c r="B20" i="7"/>
  <c r="B21" i="10" s="1"/>
  <c r="P18" i="6"/>
  <c r="O18" i="6"/>
  <c r="B5" i="7"/>
  <c r="P5" i="6"/>
  <c r="O5" i="6"/>
  <c r="P7" i="6"/>
  <c r="O7" i="6"/>
  <c r="B7" i="7"/>
  <c r="O9" i="6"/>
  <c r="B9" i="7"/>
  <c r="P9" i="6"/>
  <c r="P4" i="6"/>
  <c r="B4" i="7"/>
  <c r="O4" i="6"/>
  <c r="B3" i="5"/>
  <c r="O32" i="4"/>
  <c r="P32" i="4"/>
  <c r="O12" i="10" l="1"/>
  <c r="P12" i="10"/>
  <c r="B14" i="11"/>
  <c r="O15" i="10"/>
  <c r="B17" i="11"/>
  <c r="P15" i="10"/>
  <c r="B22" i="11"/>
  <c r="P20" i="10"/>
  <c r="O20" i="10"/>
  <c r="P16" i="10"/>
  <c r="B18" i="11"/>
  <c r="O16" i="10"/>
  <c r="B15" i="11"/>
  <c r="O13" i="10"/>
  <c r="P13" i="10"/>
  <c r="B23" i="11"/>
  <c r="P21" i="10"/>
  <c r="O21" i="10"/>
  <c r="B25" i="11"/>
  <c r="O23" i="10"/>
  <c r="P23" i="10"/>
  <c r="B16" i="11"/>
  <c r="P14" i="10"/>
  <c r="O14" i="10"/>
  <c r="B24" i="11"/>
  <c r="P22" i="10"/>
  <c r="O22" i="10"/>
  <c r="B24" i="7"/>
  <c r="B24" i="10"/>
  <c r="B18" i="7"/>
  <c r="B17" i="10" s="1"/>
  <c r="B12" i="7"/>
  <c r="B9" i="10" s="1"/>
  <c r="B4" i="10"/>
  <c r="B6" i="11" s="1"/>
  <c r="B6" i="19" s="1"/>
  <c r="P7" i="7"/>
  <c r="S8" i="7" s="1"/>
  <c r="O7" i="7"/>
  <c r="O20" i="7"/>
  <c r="P20" i="7"/>
  <c r="S21" i="7" s="1"/>
  <c r="O22" i="7"/>
  <c r="P22" i="7"/>
  <c r="S19" i="7" s="1"/>
  <c r="O15" i="7"/>
  <c r="P15" i="7"/>
  <c r="S16" i="7" s="1"/>
  <c r="O21" i="7"/>
  <c r="P21" i="7"/>
  <c r="S22" i="7" s="1"/>
  <c r="O23" i="7"/>
  <c r="P23" i="7"/>
  <c r="O13" i="7"/>
  <c r="P13" i="7"/>
  <c r="S14" i="7" s="1"/>
  <c r="O16" i="7"/>
  <c r="P16" i="7"/>
  <c r="S13" i="7" s="1"/>
  <c r="O19" i="7"/>
  <c r="P19" i="7"/>
  <c r="S20" i="7" s="1"/>
  <c r="O17" i="7"/>
  <c r="P17" i="7"/>
  <c r="O14" i="7"/>
  <c r="P14" i="7"/>
  <c r="S15" i="7" s="1"/>
  <c r="B5" i="10"/>
  <c r="B7" i="11" s="1"/>
  <c r="B7" i="19" s="1"/>
  <c r="O8" i="7"/>
  <c r="P8" i="7"/>
  <c r="S9" i="7" s="1"/>
  <c r="O10" i="7"/>
  <c r="P10" i="7"/>
  <c r="S7" i="7" s="1"/>
  <c r="B7" i="10"/>
  <c r="B9" i="11" s="1"/>
  <c r="B9" i="19" s="1"/>
  <c r="O9" i="7"/>
  <c r="P9" i="7"/>
  <c r="S10" i="7" s="1"/>
  <c r="B6" i="10"/>
  <c r="B8" i="11" s="1"/>
  <c r="B8" i="19" s="1"/>
  <c r="B8" i="10"/>
  <c r="B10" i="11" s="1"/>
  <c r="O11" i="7"/>
  <c r="P11" i="7"/>
  <c r="P3" i="5"/>
  <c r="O3" i="5"/>
  <c r="B25" i="19" l="1"/>
  <c r="O24" i="11"/>
  <c r="P24" i="11"/>
  <c r="B24" i="19"/>
  <c r="O23" i="11"/>
  <c r="P23" i="11"/>
  <c r="B11" i="11"/>
  <c r="B10" i="19" s="1"/>
  <c r="B12" i="19" s="1"/>
  <c r="O9" i="10"/>
  <c r="P9" i="10"/>
  <c r="B23" i="19"/>
  <c r="O22" i="11"/>
  <c r="P22" i="11"/>
  <c r="B19" i="11"/>
  <c r="P17" i="10"/>
  <c r="O17" i="10"/>
  <c r="B17" i="19"/>
  <c r="P16" i="11"/>
  <c r="O16" i="11"/>
  <c r="P24" i="7"/>
  <c r="O24" i="7"/>
  <c r="B25" i="10"/>
  <c r="B26" i="11"/>
  <c r="O24" i="10"/>
  <c r="P24" i="10"/>
  <c r="B18" i="19"/>
  <c r="O17" i="11"/>
  <c r="P17" i="11"/>
  <c r="B26" i="19"/>
  <c r="O25" i="11"/>
  <c r="P25" i="11"/>
  <c r="O18" i="11"/>
  <c r="P18" i="11"/>
  <c r="B15" i="19"/>
  <c r="P14" i="11"/>
  <c r="O14" i="11"/>
  <c r="B16" i="19"/>
  <c r="O15" i="11"/>
  <c r="P15" i="11"/>
  <c r="Q9" i="19"/>
  <c r="D7" i="25" s="1"/>
  <c r="R9" i="19"/>
  <c r="D24" i="25" s="1"/>
  <c r="P9" i="19"/>
  <c r="B24" i="25" s="1"/>
  <c r="O9" i="19"/>
  <c r="B7" i="25" s="1"/>
  <c r="Q6" i="19"/>
  <c r="D4" i="25" s="1"/>
  <c r="R6" i="19"/>
  <c r="D21" i="25" s="1"/>
  <c r="P6" i="19"/>
  <c r="O6" i="19"/>
  <c r="R7" i="19"/>
  <c r="D22" i="25" s="1"/>
  <c r="Q7" i="19"/>
  <c r="D5" i="25" s="1"/>
  <c r="O7" i="19"/>
  <c r="B5" i="25" s="1"/>
  <c r="P7" i="19"/>
  <c r="B22" i="25" s="1"/>
  <c r="R8" i="19"/>
  <c r="D23" i="25" s="1"/>
  <c r="Q8" i="19"/>
  <c r="D6" i="25" s="1"/>
  <c r="P8" i="19"/>
  <c r="B23" i="25" s="1"/>
  <c r="O8" i="19"/>
  <c r="B6" i="25" s="1"/>
  <c r="O9" i="11"/>
  <c r="P9" i="11"/>
  <c r="P10" i="11"/>
  <c r="O10" i="11"/>
  <c r="O12" i="7"/>
  <c r="P12" i="7"/>
  <c r="O18" i="7"/>
  <c r="P18" i="7"/>
  <c r="O5" i="10"/>
  <c r="P5" i="10"/>
  <c r="O6" i="10"/>
  <c r="P6" i="10"/>
  <c r="O7" i="10"/>
  <c r="P7" i="10"/>
  <c r="O8" i="10"/>
  <c r="P8" i="10"/>
  <c r="P4" i="10"/>
  <c r="O4" i="10"/>
  <c r="Q17" i="19" l="1"/>
  <c r="J6" i="25" s="1"/>
  <c r="O17" i="19"/>
  <c r="H6" i="25" s="1"/>
  <c r="R17" i="19"/>
  <c r="J23" i="25" s="1"/>
  <c r="P17" i="19"/>
  <c r="H23" i="25" s="1"/>
  <c r="B27" i="11"/>
  <c r="O25" i="10"/>
  <c r="P25" i="10"/>
  <c r="B19" i="19"/>
  <c r="P19" i="11"/>
  <c r="O19" i="11"/>
  <c r="O16" i="19"/>
  <c r="H5" i="25" s="1"/>
  <c r="P16" i="19"/>
  <c r="H22" i="25" s="1"/>
  <c r="R16" i="19"/>
  <c r="J22" i="25" s="1"/>
  <c r="Q16" i="19"/>
  <c r="J5" i="25" s="1"/>
  <c r="Q26" i="19"/>
  <c r="G7" i="25" s="1"/>
  <c r="O26" i="19"/>
  <c r="E7" i="25" s="1"/>
  <c r="P26" i="19"/>
  <c r="E24" i="25" s="1"/>
  <c r="R26" i="19"/>
  <c r="G24" i="25" s="1"/>
  <c r="P24" i="19"/>
  <c r="E22" i="25" s="1"/>
  <c r="O24" i="19"/>
  <c r="E5" i="25" s="1"/>
  <c r="K5" i="25" s="1"/>
  <c r="R24" i="19"/>
  <c r="G22" i="25" s="1"/>
  <c r="M22" i="25" s="1"/>
  <c r="Q24" i="19"/>
  <c r="G5" i="25" s="1"/>
  <c r="M5" i="25" s="1"/>
  <c r="Q10" i="19"/>
  <c r="D8" i="25" s="1"/>
  <c r="P10" i="19"/>
  <c r="B25" i="25" s="1"/>
  <c r="O10" i="19"/>
  <c r="B8" i="25" s="1"/>
  <c r="R10" i="19"/>
  <c r="D25" i="25" s="1"/>
  <c r="P26" i="11"/>
  <c r="O26" i="11"/>
  <c r="Q23" i="19"/>
  <c r="G4" i="25" s="1"/>
  <c r="O23" i="19"/>
  <c r="R23" i="19"/>
  <c r="G21" i="25" s="1"/>
  <c r="P23" i="19"/>
  <c r="R15" i="19"/>
  <c r="J21" i="25" s="1"/>
  <c r="Q15" i="19"/>
  <c r="J4" i="25" s="1"/>
  <c r="P15" i="19"/>
  <c r="O15" i="19"/>
  <c r="O18" i="19"/>
  <c r="H7" i="25" s="1"/>
  <c r="Q18" i="19"/>
  <c r="J7" i="25" s="1"/>
  <c r="P18" i="19"/>
  <c r="H24" i="25" s="1"/>
  <c r="R18" i="19"/>
  <c r="J24" i="25" s="1"/>
  <c r="R25" i="19"/>
  <c r="G23" i="25" s="1"/>
  <c r="M23" i="25" s="1"/>
  <c r="Q25" i="19"/>
  <c r="G6" i="25" s="1"/>
  <c r="O25" i="19"/>
  <c r="E6" i="25" s="1"/>
  <c r="P25" i="19"/>
  <c r="E23" i="25" s="1"/>
  <c r="K23" i="25" s="1"/>
  <c r="R12" i="19"/>
  <c r="D28" i="25" s="1"/>
  <c r="Q12" i="19"/>
  <c r="D11" i="25" s="1"/>
  <c r="B21" i="25"/>
  <c r="B4" i="25"/>
  <c r="P6" i="11"/>
  <c r="O6" i="11"/>
  <c r="O8" i="11"/>
  <c r="P8" i="11"/>
  <c r="P7" i="11"/>
  <c r="O7" i="11"/>
  <c r="K24" i="25" l="1"/>
  <c r="M6" i="25"/>
  <c r="K22" i="25"/>
  <c r="M21" i="25"/>
  <c r="M4" i="25"/>
  <c r="K6" i="25"/>
  <c r="K7" i="25"/>
  <c r="M7" i="25"/>
  <c r="M24" i="25"/>
  <c r="P12" i="19"/>
  <c r="E21" i="25"/>
  <c r="B27" i="19"/>
  <c r="P27" i="11"/>
  <c r="O27" i="11"/>
  <c r="P19" i="19"/>
  <c r="H25" i="25" s="1"/>
  <c r="Q19" i="19"/>
  <c r="J8" i="25" s="1"/>
  <c r="O19" i="19"/>
  <c r="H8" i="25" s="1"/>
  <c r="R19" i="19"/>
  <c r="J25" i="25" s="1"/>
  <c r="H4" i="25"/>
  <c r="H21" i="25"/>
  <c r="O12" i="19"/>
  <c r="B20" i="19"/>
  <c r="E4" i="25"/>
  <c r="B11" i="25"/>
  <c r="B28" i="25"/>
  <c r="P11" i="11"/>
  <c r="O11" i="11"/>
  <c r="H11" i="25" l="1"/>
  <c r="O20" i="19"/>
  <c r="K21" i="25"/>
  <c r="P20" i="19"/>
  <c r="K4" i="25"/>
  <c r="Q27" i="19"/>
  <c r="G8" i="25" s="1"/>
  <c r="M8" i="25" s="1"/>
  <c r="R27" i="19"/>
  <c r="G25" i="25" s="1"/>
  <c r="M25" i="25" s="1"/>
  <c r="P27" i="19"/>
  <c r="O27" i="19"/>
  <c r="B28" i="19"/>
  <c r="Q20" i="19"/>
  <c r="J11" i="25" s="1"/>
  <c r="R20" i="19"/>
  <c r="J28" i="25" s="1"/>
  <c r="H28" i="25"/>
  <c r="R28" i="19" l="1"/>
  <c r="G28" i="25" s="1"/>
  <c r="M28" i="25" s="1"/>
  <c r="Q28" i="19"/>
  <c r="G11" i="25" s="1"/>
  <c r="M11" i="25" s="1"/>
  <c r="E8" i="25"/>
  <c r="O28" i="19"/>
  <c r="E25" i="25"/>
  <c r="P28" i="19"/>
  <c r="K25" i="25" l="1"/>
  <c r="E28" i="25"/>
  <c r="K28" i="25" s="1"/>
  <c r="K8" i="25"/>
  <c r="E11" i="25"/>
  <c r="K11" i="25" s="1"/>
</calcChain>
</file>

<file path=xl/sharedStrings.xml><?xml version="1.0" encoding="utf-8"?>
<sst xmlns="http://schemas.openxmlformats.org/spreadsheetml/2006/main" count="715" uniqueCount="163">
  <si>
    <t>FRSGCUCI-v01</t>
  </si>
  <si>
    <t>GISS-PUCCINI-modelE</t>
  </si>
  <si>
    <t>MOZARTGFDL-v2</t>
  </si>
  <si>
    <t>TM5-JRC-cy2-ipcc-v1</t>
  </si>
  <si>
    <t>MOZECH-v16</t>
  </si>
  <si>
    <t>CAMCHEM-3311m13</t>
  </si>
  <si>
    <t>GMI-v02f</t>
  </si>
  <si>
    <t>INCA-vSSz</t>
  </si>
  <si>
    <t>LLNL-IMPACT-T5a</t>
  </si>
  <si>
    <t>STOC-HadAM3-v01</t>
  </si>
  <si>
    <t>UM-CAM-v01</t>
  </si>
  <si>
    <t>SR1</t>
  </si>
  <si>
    <t>SR1 (Global)</t>
  </si>
  <si>
    <t>SR2</t>
  </si>
  <si>
    <t>SR3EU</t>
  </si>
  <si>
    <t>SR3NA</t>
  </si>
  <si>
    <t>SR3SA</t>
  </si>
  <si>
    <t>SR3EA</t>
  </si>
  <si>
    <t>SR3GL</t>
  </si>
  <si>
    <t>SR4EU</t>
  </si>
  <si>
    <t>SR4NA</t>
  </si>
  <si>
    <t>SR4SA</t>
  </si>
  <si>
    <t>SR4EA</t>
  </si>
  <si>
    <t>SR4GL</t>
  </si>
  <si>
    <t>SR5EU</t>
  </si>
  <si>
    <t>SR5NA</t>
  </si>
  <si>
    <t>SR5SA</t>
  </si>
  <si>
    <t>SR5EA</t>
  </si>
  <si>
    <t>SR5GL</t>
  </si>
  <si>
    <t>Notes:</t>
  </si>
  <si>
    <t xml:space="preserve"> </t>
  </si>
  <si>
    <t>These are annual global mean tropospheric fluxes (Tg/yr) through the CH4+OH reaction, for each model, for various HTAP experiments.</t>
  </si>
  <si>
    <t xml:space="preserve">SR3: 4 regional (Europe: EU; North America: NA; South Asia: SA; East Asia: EA) and global (GL) -20% reductions in anthropogenic NOx emissions. </t>
  </si>
  <si>
    <t>Values differ between models because they have different top levels.</t>
  </si>
  <si>
    <t>MMM</t>
  </si>
  <si>
    <t>4MM</t>
  </si>
  <si>
    <t>4MM is the four model mean - average of the 4 models that ran all experiments, including the global ones</t>
  </si>
  <si>
    <t>MMM is the multi-model mean - average of all available models for that experiment</t>
  </si>
  <si>
    <t>years</t>
  </si>
  <si>
    <t>SR1(Global)</t>
  </si>
  <si>
    <t>ln(tauSR2)-ln(tauSR1)</t>
  </si>
  <si>
    <t>ln(BurdenSR2)-ln(BSR1)</t>
  </si>
  <si>
    <t>s = dlntau/dlnB</t>
  </si>
  <si>
    <t>feedback factor=1/(1-s)</t>
  </si>
  <si>
    <t>Perturbation lifetime (yr)</t>
  </si>
  <si>
    <t>SR1 (Global): is almost identical to SR1, but the analysis for the global perturbations was done later and using very slightly different methods. This is used for the base for the global NOx, CO and NMVOC experiments.</t>
  </si>
  <si>
    <t>SR2: global -20% reduction in prescribed CH4 concentrations.</t>
  </si>
  <si>
    <t>SR1: base case experiment (2001 emissions).</t>
  </si>
  <si>
    <t>SR4: As SR3 but for anthropogenic NMVOC emissions.</t>
  </si>
  <si>
    <t>SR5: As SR3 but for anthropogenic CO emissions.</t>
  </si>
  <si>
    <t>Perturbation lifetime</t>
  </si>
  <si>
    <t>Whole atmosphere lifetime</t>
  </si>
  <si>
    <t xml:space="preserve">Notes: </t>
  </si>
  <si>
    <t xml:space="preserve">Here we use the diagnosed whole atmosphere lifetimes, together with the calculated methane feedback factor for each model to calculate the equilibrium methane level that would have been reached if methane had been free to respond in these experiments. </t>
  </si>
  <si>
    <t>EU-NOx</t>
  </si>
  <si>
    <t>NA-NOx</t>
  </si>
  <si>
    <t>SA-NOx</t>
  </si>
  <si>
    <t>EA-NOx</t>
  </si>
  <si>
    <t>EA-NMVOC</t>
  </si>
  <si>
    <t>EU-NMVOC</t>
  </si>
  <si>
    <t>NA-NMVOC</t>
  </si>
  <si>
    <t>SA-NMVOC</t>
  </si>
  <si>
    <t>EA-CO</t>
  </si>
  <si>
    <t>EU-CO</t>
  </si>
  <si>
    <t>NA-CO</t>
  </si>
  <si>
    <t>SA-CO</t>
  </si>
  <si>
    <t>The equilibrium methane changes for the regional HTAP experiments reported here are a recalculation of those presented by Fry et al. (2012) in their Figure 4 (see plots below).</t>
  </si>
  <si>
    <t>Values taken from Fiore et al. (2009), Supplementary Information, Data Set S3.</t>
  </si>
  <si>
    <t>Scaling factor</t>
  </si>
  <si>
    <t>EU</t>
  </si>
  <si>
    <t>NA</t>
  </si>
  <si>
    <t>SA</t>
  </si>
  <si>
    <t>EA</t>
  </si>
  <si>
    <t>GL</t>
  </si>
  <si>
    <t>ROW</t>
  </si>
  <si>
    <t>Recreation of Figure 4 of Fry et al. (2012) using the raw HTAP data (MMM) used here.</t>
  </si>
  <si>
    <t>null</t>
  </si>
  <si>
    <t>NOx (TgN/yr)</t>
  </si>
  <si>
    <t>NMVOC (TgC/yr)</t>
  </si>
  <si>
    <t>CO (TgCO/yr)</t>
  </si>
  <si>
    <t>Table S7a: Total anthropogenic emissions in the base simulation (SR1) for the HTAP models analysed in this study. NOx in Tg(N)/yr.</t>
  </si>
  <si>
    <t>MNO2/MN</t>
  </si>
  <si>
    <t>Table S7b: Total anthropogenic emissions in the base simulation (SR1) for the HTAP models analysed in this study. NOx in Tg(NO2)/yr. Including ROW region (=GL-EU-NA-SA-EA).</t>
  </si>
  <si>
    <t>NOx</t>
  </si>
  <si>
    <t>NMVOC</t>
  </si>
  <si>
    <t>CO</t>
  </si>
  <si>
    <t>NOx (TgNO2/yr)</t>
  </si>
  <si>
    <t>Table S8: 20% anthropogenic emission changes (Tg(NO2)/yr, Tg(NMVOC as C)/yr, Tg(CO)/yr) in the HTAP experiments for each model.</t>
  </si>
  <si>
    <t>Table S11: Impact on methane (ppb) per Tg/yr emission after 1 year, using each model's perturbation lifetime</t>
  </si>
  <si>
    <t>Surface NOx</t>
  </si>
  <si>
    <t>Aviation NOx</t>
  </si>
  <si>
    <t>%</t>
  </si>
  <si>
    <t>Global emissions (GL)</t>
  </si>
  <si>
    <t>Europe (EU)</t>
  </si>
  <si>
    <t>North America (NA)</t>
  </si>
  <si>
    <t>South Asia (SA)</t>
  </si>
  <si>
    <t>East Asia (EA)</t>
  </si>
  <si>
    <t>Rest of the World (ROW)</t>
  </si>
  <si>
    <t xml:space="preserve"> Surface CO</t>
  </si>
  <si>
    <t xml:space="preserve"> Surface NMVOC </t>
  </si>
  <si>
    <t>Tg(CO)</t>
  </si>
  <si>
    <t>Tg(C)</t>
  </si>
  <si>
    <t>These data make up Figures 2, 3 and 4 of the main paper.</t>
  </si>
  <si>
    <t>Aviation NOx in HTAP</t>
  </si>
  <si>
    <t>Extra aviation NOx</t>
  </si>
  <si>
    <t>HTAP Total NOx</t>
  </si>
  <si>
    <t>Total from NOx</t>
  </si>
  <si>
    <t>Extra AC</t>
  </si>
  <si>
    <t>Aviation sensitivity:</t>
  </si>
  <si>
    <t>ppb(CH4)/Tg(NO2)</t>
  </si>
  <si>
    <t>Table S12: Impacts on methane growth rate (ppb/yr) from lockdown NOx, NMVOC and CO emissions reductions</t>
  </si>
  <si>
    <t>These data make up Figures 5, 6 and 7 of the main paper.</t>
  </si>
  <si>
    <t>Total</t>
  </si>
  <si>
    <t>Europe</t>
  </si>
  <si>
    <t>±</t>
  </si>
  <si>
    <t>N America</t>
  </si>
  <si>
    <t>S Asia</t>
  </si>
  <si>
    <t>E Asia</t>
  </si>
  <si>
    <t>Aviation (extra)</t>
  </si>
  <si>
    <t>4MMSD</t>
  </si>
  <si>
    <t>MMMSD</t>
  </si>
  <si>
    <t>Uncertainties for the total values are the square root of the sum of the squares of the Standard Deviations for each species.</t>
  </si>
  <si>
    <t>Uncertainties for species are calculated from the Standard Deviation of the four models used to make the 4MM.</t>
  </si>
  <si>
    <t>Aviation values derived from Lee et al. (2021).</t>
  </si>
  <si>
    <t>This is Table 2 of the main paper.</t>
  </si>
  <si>
    <t>Table S13a: Summary table (based on 4MM)</t>
  </si>
  <si>
    <t>Table S13b: Summary table (based on MMM)</t>
  </si>
  <si>
    <t>Table S1: Global total methane loss to tropospheric OH (Tg/yr) from the HTAP experiments reported in Fry et al. (2012).</t>
  </si>
  <si>
    <t xml:space="preserve">The HTAP experiments (other than SR2) held methane mixing ratios fixed at a prescribed level of 1760 ppbv. </t>
  </si>
  <si>
    <t>Table S6: Equilibrium changes in methane (ppb) for 20% changes in regional/global emissions (changes in methane concentrations in SR2).</t>
  </si>
  <si>
    <t>The whole atmosphere methane lifetime in the base experiment (SR1) and the perturbation lifetime, for all the HTAP models are shown in Figure 1 of the main paper.</t>
  </si>
  <si>
    <t>An extract of Figure 4 of Fry et al. (2012); mean values are the central bar in the box and whiskers, and correspond to the values shown in the adjacent recreated figure.</t>
  </si>
  <si>
    <t>(ratio of molecular weight of NO2/N)</t>
  </si>
  <si>
    <t>NB there are no SR3 results from the LLNL-IMPACT-T5a model.</t>
  </si>
  <si>
    <t>This is Table 1 of the main paper.</t>
  </si>
  <si>
    <r>
      <t>Tg(NO</t>
    </r>
    <r>
      <rPr>
        <vertAlign val="subscript"/>
        <sz val="11"/>
        <color theme="1"/>
        <rFont val="Calibri"/>
        <family val="2"/>
        <scheme val="minor"/>
      </rPr>
      <t>2</t>
    </r>
    <r>
      <rPr>
        <sz val="11"/>
        <color theme="1"/>
        <rFont val="Calibri"/>
        <family val="2"/>
        <scheme val="minor"/>
      </rPr>
      <t>)</t>
    </r>
  </si>
  <si>
    <t>Table S11a: Regional and global annual emissions changes from 2019 to 2020 from surface and aviation sources (derived from Lamboll et al, 2021)</t>
  </si>
  <si>
    <t>Table S11b: Calculating the aviation NOx component already included when the HTAP emissions are scaled to represent the surface emissions changes.</t>
  </si>
  <si>
    <t>Uncertainties for species are calculated from the Standard Deviation of all the models used to make the MMM.</t>
  </si>
  <si>
    <t>NB there are no emissions data for the SA NMVOC experiment for the INCA-vSSz model, so no results for any of the SR4 experiments are analysed for this model.</t>
  </si>
  <si>
    <t>This is Figure 2 of the main paper.</t>
  </si>
  <si>
    <t>This is Figure 3 of the main paper.</t>
  </si>
  <si>
    <t>This is Figure 4 of the main paper.</t>
  </si>
  <si>
    <t>This is Figure 1 of the main paper.</t>
  </si>
  <si>
    <t>Table S2: Whole model atmosphere methane burden (Tg).</t>
  </si>
  <si>
    <t>Table S3: Methane lifetime with respect to tropospheric OH (years).</t>
  </si>
  <si>
    <t>T_strat:</t>
  </si>
  <si>
    <t>T_soil:</t>
  </si>
  <si>
    <t>Table S5: Equilibrium global mean methane mixing ratios (ppb) for 20% changes in regional/global emissions (concentrations for SR2).</t>
  </si>
  <si>
    <t>The methodology used is described in Section 3.1.2 of Stevenson et al. (2013).</t>
  </si>
  <si>
    <t>Table S9: Equilibrium changes in CH4(ppb) normalised to 1 Tg/yr changes in regional/global anthropogenic emissions.</t>
  </si>
  <si>
    <t>The scaling factor converts the equilibrium change in methane (Table S9) to the value after 1 year, assuming relaxation towards the equilibrium value with an e-folding timescale given by the methane perturbation lifetime.</t>
  </si>
  <si>
    <t>The HTAP emissions have been scaled so that the surface NOx emissions change matches the lockdown estimate.</t>
  </si>
  <si>
    <t xml:space="preserve"> We then calculate how much aircraft NOx this accounts for, and how much extra aviation NOx needs to be added to match the lockdown estimate.</t>
  </si>
  <si>
    <t>This is Figure 5 of the main paper.</t>
  </si>
  <si>
    <t>This is Figure 7 of the main paper.</t>
  </si>
  <si>
    <t>This is Figure 6 of the main paper.</t>
  </si>
  <si>
    <t>Aviation (total)</t>
  </si>
  <si>
    <t>(0.93</t>
  </si>
  <si>
    <t>0.18)</t>
  </si>
  <si>
    <t>Add in stratospheric, soil and Cl sinks to produce whole atmosphere lifetimes (lifetimes from Prather et al., 2012).</t>
  </si>
  <si>
    <t>T_Cl:</t>
  </si>
  <si>
    <t>Table S4: Whole atmosphere methane lifetime, including stratospheric, chlorine and soil sinks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</si>
</sst>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
    <numFmt numFmtId="167" formatCode="0.0000"/>
  </numFmts>
  <fonts count="11"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10"/>
      <name val="Arial"/>
      <family val="2"/>
    </font>
    <font>
      <sz val="11"/>
      <color theme="1"/>
      <name val="Calibri"/>
      <family val="2"/>
      <scheme val="minor"/>
    </font>
    <font>
      <b/>
      <i/>
      <sz val="11"/>
      <color theme="1"/>
      <name val="Calibri"/>
      <family val="2"/>
      <scheme val="minor"/>
    </font>
    <font>
      <b/>
      <i/>
      <sz val="11"/>
      <name val="Calibri"/>
      <family val="2"/>
      <scheme val="minor"/>
    </font>
    <font>
      <vertAlign val="subscript"/>
      <sz val="11"/>
      <color theme="1"/>
      <name val="Calibri"/>
      <family val="2"/>
      <scheme val="minor"/>
    </font>
    <font>
      <i/>
      <sz val="11"/>
      <color theme="1"/>
      <name val="Calibri"/>
      <family val="2"/>
      <scheme val="minor"/>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3">
    <xf numFmtId="0" fontId="0" fillId="0" borderId="0" xfId="0"/>
    <xf numFmtId="2" fontId="0" fillId="0" borderId="0" xfId="0" applyNumberFormat="1"/>
    <xf numFmtId="0" fontId="1" fillId="0" borderId="0" xfId="0" applyFont="1"/>
    <xf numFmtId="0" fontId="2" fillId="0" borderId="0" xfId="0" applyFont="1"/>
    <xf numFmtId="0" fontId="3" fillId="0" borderId="0" xfId="0" applyFont="1"/>
    <xf numFmtId="164" fontId="3" fillId="0" borderId="0" xfId="0" applyNumberFormat="1" applyFont="1"/>
    <xf numFmtId="0" fontId="4" fillId="0" borderId="0" xfId="0" applyFont="1"/>
    <xf numFmtId="165" fontId="0" fillId="0" borderId="0" xfId="0" applyNumberFormat="1"/>
    <xf numFmtId="165" fontId="3" fillId="0" borderId="0" xfId="0" applyNumberFormat="1" applyFont="1"/>
    <xf numFmtId="166" fontId="0" fillId="0" borderId="0" xfId="0" applyNumberFormat="1"/>
    <xf numFmtId="0" fontId="5" fillId="0" borderId="0" xfId="0" applyFont="1"/>
    <xf numFmtId="164" fontId="0" fillId="0" borderId="0" xfId="0" applyNumberFormat="1"/>
    <xf numFmtId="2" fontId="0" fillId="0" borderId="0" xfId="0" applyNumberFormat="1" applyAlignment="1">
      <alignment vertical="top" wrapText="1"/>
    </xf>
    <xf numFmtId="2" fontId="0" fillId="0" borderId="0" xfId="0" applyNumberFormat="1"/>
    <xf numFmtId="2" fontId="2" fillId="0" borderId="0" xfId="0" applyNumberFormat="1" applyFont="1"/>
    <xf numFmtId="0" fontId="0" fillId="0" borderId="0" xfId="0" applyFont="1"/>
    <xf numFmtId="2" fontId="3" fillId="0" borderId="0" xfId="0" applyNumberFormat="1" applyFont="1"/>
    <xf numFmtId="165" fontId="1" fillId="0" borderId="0" xfId="0" applyNumberFormat="1" applyFont="1"/>
    <xf numFmtId="167" fontId="0" fillId="0" borderId="0" xfId="0" applyNumberFormat="1"/>
    <xf numFmtId="167" fontId="3" fillId="0" borderId="0" xfId="0" applyNumberFormat="1" applyFont="1"/>
    <xf numFmtId="0" fontId="7" fillId="0" borderId="0" xfId="0" applyFont="1"/>
    <xf numFmtId="0" fontId="2" fillId="0" borderId="0" xfId="0" applyFont="1" applyAlignment="1">
      <alignment horizontal="right"/>
    </xf>
    <xf numFmtId="0" fontId="4" fillId="0" borderId="0" xfId="0" applyFont="1" applyAlignment="1">
      <alignment horizontal="right"/>
    </xf>
    <xf numFmtId="0" fontId="8" fillId="0" borderId="0" xfId="0" applyFont="1"/>
    <xf numFmtId="0" fontId="0" fillId="0" borderId="0" xfId="0" applyAlignment="1">
      <alignment horizontal="center"/>
    </xf>
    <xf numFmtId="165" fontId="2" fillId="0" borderId="0" xfId="0" applyNumberFormat="1" applyFont="1"/>
    <xf numFmtId="165" fontId="0" fillId="0" borderId="0" xfId="0" applyNumberFormat="1" applyFont="1"/>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left"/>
    </xf>
    <xf numFmtId="0" fontId="2" fillId="0" borderId="0" xfId="0" quotePrefix="1" applyFont="1"/>
    <xf numFmtId="0" fontId="2" fillId="0" borderId="0" xfId="0" applyFont="1"/>
    <xf numFmtId="0" fontId="2" fillId="0" borderId="0" xfId="0" applyFont="1" applyAlignment="1">
      <alignment wrapText="1"/>
    </xf>
    <xf numFmtId="0" fontId="0" fillId="0" borderId="2" xfId="0" applyFont="1" applyBorder="1" applyAlignment="1">
      <alignment vertical="top"/>
    </xf>
    <xf numFmtId="0" fontId="0" fillId="0" borderId="6" xfId="0" applyFont="1" applyBorder="1" applyAlignment="1">
      <alignment horizontal="center" vertical="center"/>
    </xf>
    <xf numFmtId="0" fontId="0" fillId="0" borderId="4" xfId="0" applyFont="1" applyBorder="1" applyAlignment="1">
      <alignment horizontal="center" vertical="center"/>
    </xf>
    <xf numFmtId="0" fontId="0" fillId="0" borderId="6"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vertical="top"/>
    </xf>
    <xf numFmtId="0" fontId="0" fillId="0" borderId="5" xfId="0" applyFont="1" applyBorder="1" applyAlignment="1">
      <alignment horizontal="center" vertical="center"/>
    </xf>
    <xf numFmtId="0" fontId="10" fillId="0" borderId="5" xfId="0" applyFont="1" applyBorder="1" applyAlignment="1">
      <alignment horizontal="center" vertical="center" wrapText="1"/>
    </xf>
    <xf numFmtId="0" fontId="0" fillId="0" borderId="5" xfId="0" applyFont="1" applyBorder="1" applyAlignment="1">
      <alignment horizontal="center" vertical="center" wrapText="1"/>
    </xf>
    <xf numFmtId="0" fontId="0" fillId="0" borderId="3" xfId="0" applyFont="1" applyBorder="1" applyAlignment="1">
      <alignment horizontal="justify" vertical="center"/>
    </xf>
    <xf numFmtId="2" fontId="0" fillId="0" borderId="5" xfId="0" applyNumberFormat="1" applyFont="1" applyBorder="1" applyAlignment="1">
      <alignment horizontal="center" vertical="center"/>
    </xf>
    <xf numFmtId="164" fontId="10" fillId="0" borderId="5" xfId="0" applyNumberFormat="1" applyFont="1" applyBorder="1" applyAlignment="1">
      <alignment horizontal="center" vertical="center" wrapText="1"/>
    </xf>
    <xf numFmtId="0" fontId="0" fillId="0" borderId="0" xfId="0" applyFont="1" applyBorder="1" applyAlignment="1">
      <alignment horizontal="justify" vertical="center"/>
    </xf>
    <xf numFmtId="2" fontId="0" fillId="0" borderId="0" xfId="0" applyNumberFormat="1" applyFont="1" applyBorder="1" applyAlignment="1">
      <alignment horizontal="center" vertical="center"/>
    </xf>
    <xf numFmtId="0" fontId="10" fillId="0" borderId="0" xfId="0" applyFont="1" applyBorder="1" applyAlignment="1">
      <alignment horizontal="center" vertical="center" wrapText="1"/>
    </xf>
    <xf numFmtId="0" fontId="0" fillId="0" borderId="0" xfId="0" applyFont="1" applyBorder="1" applyAlignment="1">
      <alignment horizontal="center" vertical="center" wrapText="1"/>
    </xf>
    <xf numFmtId="164" fontId="1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2" fontId="0" fillId="0" borderId="0" xfId="0" applyNumberFormat="1" applyFont="1" applyBorder="1" applyAlignment="1">
      <alignment horizontal="left" vertical="center"/>
    </xf>
    <xf numFmtId="165" fontId="0" fillId="0" borderId="5" xfId="0" applyNumberFormat="1" applyFont="1" applyBorder="1" applyAlignment="1">
      <alignment horizontal="center" vertical="center" wrapText="1"/>
    </xf>
    <xf numFmtId="0" fontId="0" fillId="0" borderId="0" xfId="0" applyFont="1" applyFill="1" applyBorder="1" applyAlignment="1">
      <alignment horizontal="left" vertical="center"/>
    </xf>
    <xf numFmtId="0" fontId="2" fillId="0" borderId="0" xfId="0" applyFont="1" applyBorder="1" applyAlignment="1">
      <alignment horizontal="justify" vertical="center"/>
    </xf>
    <xf numFmtId="0" fontId="2" fillId="0" borderId="0" xfId="0" applyFont="1" applyBorder="1" applyAlignment="1">
      <alignment horizontal="justify" vertical="center"/>
    </xf>
    <xf numFmtId="0" fontId="2" fillId="0" borderId="0" xfId="0" applyFont="1" applyFill="1" applyBorder="1" applyAlignment="1">
      <alignment horizontal="justify" vertical="center"/>
    </xf>
    <xf numFmtId="0" fontId="0" fillId="0" borderId="1" xfId="0" applyFont="1" applyBorder="1" applyAlignment="1">
      <alignment horizontal="center"/>
    </xf>
    <xf numFmtId="0" fontId="0" fillId="0" borderId="1" xfId="0" applyFont="1" applyBorder="1" applyAlignment="1">
      <alignment horizontal="center" vertical="center"/>
    </xf>
    <xf numFmtId="2" fontId="0" fillId="0" borderId="1" xfId="0" applyNumberFormat="1" applyFont="1" applyBorder="1" applyAlignment="1">
      <alignment horizontal="center" vertical="center"/>
    </xf>
    <xf numFmtId="165" fontId="0" fillId="0" borderId="1" xfId="0" applyNumberFormat="1" applyFont="1" applyBorder="1" applyAlignment="1">
      <alignment horizontal="center" vertical="center"/>
    </xf>
    <xf numFmtId="0" fontId="2" fillId="0" borderId="0" xfId="0" applyFont="1" applyAlignment="1">
      <alignment horizontal="center" vertical="center" wrapText="1"/>
    </xf>
    <xf numFmtId="2" fontId="0" fillId="0" borderId="0" xfId="0" applyNumberForma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1'!$A$2</c:f>
              <c:strCache>
                <c:ptCount val="1"/>
                <c:pt idx="0">
                  <c:v>Whole atmosphere lifetime</c:v>
                </c:pt>
              </c:strCache>
            </c:strRef>
          </c:tx>
          <c:spPr>
            <a:solidFill>
              <a:schemeClr val="accent1"/>
            </a:solidFill>
            <a:ln>
              <a:noFill/>
            </a:ln>
            <a:effectLst/>
          </c:spPr>
          <c:invertIfNegative val="0"/>
          <c:cat>
            <c:strRef>
              <c:f>'Figure 1'!$B$1:$P$1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'Figure 1'!$B$2:$P$2</c:f>
              <c:numCache>
                <c:formatCode>0.00</c:formatCode>
                <c:ptCount val="15"/>
                <c:pt idx="0">
                  <c:v>7.4107347713505023</c:v>
                </c:pt>
                <c:pt idx="1">
                  <c:v>8.9328074588996103</c:v>
                </c:pt>
                <c:pt idx="2">
                  <c:v>8.6336615109124537</c:v>
                </c:pt>
                <c:pt idx="3">
                  <c:v>7.6415621507512732</c:v>
                </c:pt>
                <c:pt idx="5">
                  <c:v>9.1486471603215982</c:v>
                </c:pt>
                <c:pt idx="6">
                  <c:v>9.5880288195085885</c:v>
                </c:pt>
                <c:pt idx="7">
                  <c:v>8.595346099241663</c:v>
                </c:pt>
                <c:pt idx="8">
                  <c:v>8.3504069811277457</c:v>
                </c:pt>
                <c:pt idx="9">
                  <c:v>5.5059398058166069</c:v>
                </c:pt>
                <c:pt idx="10">
                  <c:v>7.8470111280907222</c:v>
                </c:pt>
                <c:pt idx="11">
                  <c:v>9.9978746270572003</c:v>
                </c:pt>
                <c:pt idx="13">
                  <c:v>8.1546914729784596</c:v>
                </c:pt>
                <c:pt idx="14">
                  <c:v>8.3320018648252709</c:v>
                </c:pt>
              </c:numCache>
            </c:numRef>
          </c:val>
          <c:extLst>
            <c:ext xmlns:c16="http://schemas.microsoft.com/office/drawing/2014/chart" uri="{C3380CC4-5D6E-409C-BE32-E72D297353CC}">
              <c16:uniqueId val="{00000000-DC2F-457B-AFA9-2CBE70AD0A33}"/>
            </c:ext>
          </c:extLst>
        </c:ser>
        <c:ser>
          <c:idx val="1"/>
          <c:order val="1"/>
          <c:tx>
            <c:strRef>
              <c:f>'Figure 1'!$A$3</c:f>
              <c:strCache>
                <c:ptCount val="1"/>
                <c:pt idx="0">
                  <c:v>Perturbation lifetime</c:v>
                </c:pt>
              </c:strCache>
            </c:strRef>
          </c:tx>
          <c:spPr>
            <a:solidFill>
              <a:schemeClr val="accent2"/>
            </a:solidFill>
            <a:ln>
              <a:noFill/>
            </a:ln>
            <a:effectLst/>
          </c:spPr>
          <c:invertIfNegative val="0"/>
          <c:cat>
            <c:strRef>
              <c:f>'Figure 1'!$B$1:$P$1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'Figure 1'!$B$3:$P$3</c:f>
              <c:numCache>
                <c:formatCode>0.00</c:formatCode>
                <c:ptCount val="15"/>
                <c:pt idx="0">
                  <c:v>10.433846884451938</c:v>
                </c:pt>
                <c:pt idx="1">
                  <c:v>11.964488740126308</c:v>
                </c:pt>
                <c:pt idx="2">
                  <c:v>11.182506771964357</c:v>
                </c:pt>
                <c:pt idx="3">
                  <c:v>10.751188234837837</c:v>
                </c:pt>
                <c:pt idx="5">
                  <c:v>11.678138694450929</c:v>
                </c:pt>
                <c:pt idx="6">
                  <c:v>12.322431704030159</c:v>
                </c:pt>
                <c:pt idx="7">
                  <c:v>11.097511370478987</c:v>
                </c:pt>
                <c:pt idx="8">
                  <c:v>10.803325829997837</c:v>
                </c:pt>
                <c:pt idx="9">
                  <c:v>7.592139156970811</c:v>
                </c:pt>
                <c:pt idx="10">
                  <c:v>10.114553436398198</c:v>
                </c:pt>
                <c:pt idx="11">
                  <c:v>12.290493032064882</c:v>
                </c:pt>
                <c:pt idx="13">
                  <c:v>11.083007657845108</c:v>
                </c:pt>
                <c:pt idx="14">
                  <c:v>10.930056714161113</c:v>
                </c:pt>
              </c:numCache>
            </c:numRef>
          </c:val>
          <c:extLst>
            <c:ext xmlns:c16="http://schemas.microsoft.com/office/drawing/2014/chart" uri="{C3380CC4-5D6E-409C-BE32-E72D297353CC}">
              <c16:uniqueId val="{00000001-DC2F-457B-AFA9-2CBE70AD0A33}"/>
            </c:ext>
          </c:extLst>
        </c:ser>
        <c:dLbls>
          <c:showLegendKey val="0"/>
          <c:showVal val="0"/>
          <c:showCatName val="0"/>
          <c:showSerName val="0"/>
          <c:showPercent val="0"/>
          <c:showBubbleSize val="0"/>
        </c:dLbls>
        <c:gapWidth val="219"/>
        <c:overlap val="-27"/>
        <c:axId val="323258488"/>
        <c:axId val="323256192"/>
      </c:barChart>
      <c:catAx>
        <c:axId val="323258488"/>
        <c:scaling>
          <c:orientation val="minMax"/>
        </c:scaling>
        <c:delete val="0"/>
        <c:axPos val="b"/>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3256192"/>
        <c:crosses val="autoZero"/>
        <c:auto val="1"/>
        <c:lblAlgn val="ctr"/>
        <c:lblOffset val="100"/>
        <c:noMultiLvlLbl val="0"/>
      </c:catAx>
      <c:valAx>
        <c:axId val="323256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Methane lifetime (yr)</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32584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'Table S6'!$R$7:$R$22</c:f>
              <c:strCache>
                <c:ptCount val="16"/>
                <c:pt idx="0">
                  <c:v>EA-NOx</c:v>
                </c:pt>
                <c:pt idx="1">
                  <c:v>EU-NOx</c:v>
                </c:pt>
                <c:pt idx="2">
                  <c:v>NA-NOx</c:v>
                </c:pt>
                <c:pt idx="3">
                  <c:v>SA-NOx</c:v>
                </c:pt>
                <c:pt idx="6">
                  <c:v>EA-NMVOC</c:v>
                </c:pt>
                <c:pt idx="7">
                  <c:v>EU-NMVOC</c:v>
                </c:pt>
                <c:pt idx="8">
                  <c:v>NA-NMVOC</c:v>
                </c:pt>
                <c:pt idx="9">
                  <c:v>SA-NMVOC</c:v>
                </c:pt>
                <c:pt idx="12">
                  <c:v>EA-CO</c:v>
                </c:pt>
                <c:pt idx="13">
                  <c:v>EU-CO</c:v>
                </c:pt>
                <c:pt idx="14">
                  <c:v>NA-CO</c:v>
                </c:pt>
                <c:pt idx="15">
                  <c:v>SA-CO</c:v>
                </c:pt>
              </c:strCache>
            </c:strRef>
          </c:cat>
          <c:val>
            <c:numRef>
              <c:f>'Table S6'!$S$7:$S$22</c:f>
              <c:numCache>
                <c:formatCode>0.00</c:formatCode>
                <c:ptCount val="16"/>
                <c:pt idx="0">
                  <c:v>7.7502129481773405</c:v>
                </c:pt>
                <c:pt idx="1">
                  <c:v>6.2099093950697348</c:v>
                </c:pt>
                <c:pt idx="2">
                  <c:v>10.361324672854176</c:v>
                </c:pt>
                <c:pt idx="3">
                  <c:v>5.9346285403941916</c:v>
                </c:pt>
                <c:pt idx="6">
                  <c:v>-1.0266600157578358</c:v>
                </c:pt>
                <c:pt idx="7">
                  <c:v>-1.8649840784350173</c:v>
                </c:pt>
                <c:pt idx="8">
                  <c:v>-1.2425280772603069</c:v>
                </c:pt>
                <c:pt idx="9">
                  <c:v>-0.99521842161088481</c:v>
                </c:pt>
                <c:pt idx="12">
                  <c:v>-5.3557198146803664</c:v>
                </c:pt>
                <c:pt idx="13">
                  <c:v>-3.2230922060474643</c:v>
                </c:pt>
                <c:pt idx="14">
                  <c:v>-4.1161237382224991</c:v>
                </c:pt>
                <c:pt idx="15">
                  <c:v>-3.1794726339587669</c:v>
                </c:pt>
              </c:numCache>
            </c:numRef>
          </c:val>
          <c:extLst>
            <c:ext xmlns:c16="http://schemas.microsoft.com/office/drawing/2014/chart" uri="{C3380CC4-5D6E-409C-BE32-E72D297353CC}">
              <c16:uniqueId val="{00000000-052A-42BA-B5E5-B26BF6648CB1}"/>
            </c:ext>
          </c:extLst>
        </c:ser>
        <c:dLbls>
          <c:showLegendKey val="0"/>
          <c:showVal val="0"/>
          <c:showCatName val="0"/>
          <c:showSerName val="0"/>
          <c:showPercent val="0"/>
          <c:showBubbleSize val="0"/>
        </c:dLbls>
        <c:gapWidth val="219"/>
        <c:overlap val="-27"/>
        <c:axId val="396308176"/>
        <c:axId val="396310472"/>
      </c:barChart>
      <c:catAx>
        <c:axId val="39630817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310472"/>
        <c:crosses val="autoZero"/>
        <c:auto val="1"/>
        <c:lblAlgn val="ctr"/>
        <c:lblOffset val="100"/>
        <c:noMultiLvlLbl val="0"/>
      </c:catAx>
      <c:valAx>
        <c:axId val="396310472"/>
        <c:scaling>
          <c:orientation val="minMax"/>
          <c:max val="2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MMM change in methane (ppbv)</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308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'Table S10'!$A$6</c:f>
              <c:strCache>
                <c:ptCount val="1"/>
                <c:pt idx="0">
                  <c:v>EU</c:v>
                </c:pt>
              </c:strCache>
            </c:strRef>
          </c:tx>
          <c:spPr>
            <a:solidFill>
              <a:schemeClr val="accent1"/>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S10'!$B$6:$P$6</c:f>
              <c:numCache>
                <c:formatCode>0.0000</c:formatCode>
                <c:ptCount val="15"/>
                <c:pt idx="0">
                  <c:v>-0.11063648520319205</c:v>
                </c:pt>
                <c:pt idx="1">
                  <c:v>-5.9289716336780887E-2</c:v>
                </c:pt>
                <c:pt idx="2">
                  <c:v>-9.9575504184033922E-2</c:v>
                </c:pt>
                <c:pt idx="3">
                  <c:v>-0.11952166924227312</c:v>
                </c:pt>
                <c:pt idx="5">
                  <c:v>-0.10076416159837499</c:v>
                </c:pt>
                <c:pt idx="6">
                  <c:v>-0.11415580009203818</c:v>
                </c:pt>
                <c:pt idx="7">
                  <c:v>-0.13857658021518396</c:v>
                </c:pt>
                <c:pt idx="8">
                  <c:v>-0.11988770840292234</c:v>
                </c:pt>
                <c:pt idx="10">
                  <c:v>-0.11226521462685836</c:v>
                </c:pt>
                <c:pt idx="11">
                  <c:v>-0.12745972940341499</c:v>
                </c:pt>
                <c:pt idx="13">
                  <c:v>-9.7255843741570008E-2</c:v>
                </c:pt>
                <c:pt idx="14">
                  <c:v>-0.11021325693050728</c:v>
                </c:pt>
              </c:numCache>
            </c:numRef>
          </c:val>
          <c:extLst>
            <c:ext xmlns:c16="http://schemas.microsoft.com/office/drawing/2014/chart" uri="{C3380CC4-5D6E-409C-BE32-E72D297353CC}">
              <c16:uniqueId val="{00000000-C688-4799-9E4E-24FEFB944334}"/>
            </c:ext>
          </c:extLst>
        </c:ser>
        <c:ser>
          <c:idx val="1"/>
          <c:order val="1"/>
          <c:tx>
            <c:strRef>
              <c:f>'Table S10'!$A$7</c:f>
              <c:strCache>
                <c:ptCount val="1"/>
                <c:pt idx="0">
                  <c:v>NA</c:v>
                </c:pt>
              </c:strCache>
            </c:strRef>
          </c:tx>
          <c:spPr>
            <a:solidFill>
              <a:schemeClr val="accent2"/>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S10'!$B$7:$P$7</c:f>
              <c:numCache>
                <c:formatCode>0.0000</c:formatCode>
                <c:ptCount val="15"/>
                <c:pt idx="0">
                  <c:v>-0.16740483764623226</c:v>
                </c:pt>
                <c:pt idx="1">
                  <c:v>-0.10285910406819775</c:v>
                </c:pt>
                <c:pt idx="2">
                  <c:v>-0.16179277673617226</c:v>
                </c:pt>
                <c:pt idx="3">
                  <c:v>-0.17228019510263343</c:v>
                </c:pt>
                <c:pt idx="5">
                  <c:v>-0.16397718446508278</c:v>
                </c:pt>
                <c:pt idx="6">
                  <c:v>-0.19694983696217408</c:v>
                </c:pt>
                <c:pt idx="7">
                  <c:v>-0.24801194529094464</c:v>
                </c:pt>
                <c:pt idx="8">
                  <c:v>-0.17335063686859273</c:v>
                </c:pt>
                <c:pt idx="10">
                  <c:v>-0.17181935718784103</c:v>
                </c:pt>
                <c:pt idx="11">
                  <c:v>-0.24744406160968499</c:v>
                </c:pt>
                <c:pt idx="13">
                  <c:v>-0.15108422838830893</c:v>
                </c:pt>
                <c:pt idx="14">
                  <c:v>-0.18058899359375558</c:v>
                </c:pt>
              </c:numCache>
            </c:numRef>
          </c:val>
          <c:extLst>
            <c:ext xmlns:c16="http://schemas.microsoft.com/office/drawing/2014/chart" uri="{C3380CC4-5D6E-409C-BE32-E72D297353CC}">
              <c16:uniqueId val="{00000001-C688-4799-9E4E-24FEFB944334}"/>
            </c:ext>
          </c:extLst>
        </c:ser>
        <c:ser>
          <c:idx val="2"/>
          <c:order val="2"/>
          <c:tx>
            <c:strRef>
              <c:f>'Table S10'!$A$8</c:f>
              <c:strCache>
                <c:ptCount val="1"/>
                <c:pt idx="0">
                  <c:v>SA</c:v>
                </c:pt>
              </c:strCache>
            </c:strRef>
          </c:tx>
          <c:spPr>
            <a:solidFill>
              <a:schemeClr val="accent3"/>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S10'!$B$8:$P$8</c:f>
              <c:numCache>
                <c:formatCode>0.0000</c:formatCode>
                <c:ptCount val="15"/>
                <c:pt idx="0">
                  <c:v>-0.36036059531866538</c:v>
                </c:pt>
                <c:pt idx="1">
                  <c:v>-0.24966958355234906</c:v>
                </c:pt>
                <c:pt idx="2">
                  <c:v>-0.35409114638664713</c:v>
                </c:pt>
                <c:pt idx="3">
                  <c:v>-0.36232112551005641</c:v>
                </c:pt>
                <c:pt idx="5">
                  <c:v>-0.24575488603286361</c:v>
                </c:pt>
                <c:pt idx="6">
                  <c:v>-0.24691374344619499</c:v>
                </c:pt>
                <c:pt idx="7">
                  <c:v>-0.3969640980534988</c:v>
                </c:pt>
                <c:pt idx="8">
                  <c:v>-0.28825404747113292</c:v>
                </c:pt>
                <c:pt idx="10">
                  <c:v>-0.338758848402341</c:v>
                </c:pt>
                <c:pt idx="11">
                  <c:v>-0.58711905907495254</c:v>
                </c:pt>
                <c:pt idx="13">
                  <c:v>-0.33161061269192948</c:v>
                </c:pt>
                <c:pt idx="14">
                  <c:v>-0.34302071332487022</c:v>
                </c:pt>
              </c:numCache>
            </c:numRef>
          </c:val>
          <c:extLst>
            <c:ext xmlns:c16="http://schemas.microsoft.com/office/drawing/2014/chart" uri="{C3380CC4-5D6E-409C-BE32-E72D297353CC}">
              <c16:uniqueId val="{00000002-C688-4799-9E4E-24FEFB944334}"/>
            </c:ext>
          </c:extLst>
        </c:ser>
        <c:ser>
          <c:idx val="3"/>
          <c:order val="3"/>
          <c:tx>
            <c:strRef>
              <c:f>'Table S10'!$A$9</c:f>
              <c:strCache>
                <c:ptCount val="1"/>
                <c:pt idx="0">
                  <c:v>EA</c:v>
                </c:pt>
              </c:strCache>
            </c:strRef>
          </c:tx>
          <c:spPr>
            <a:solidFill>
              <a:schemeClr val="accent4"/>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S10'!$B$9:$P$9</c:f>
              <c:numCache>
                <c:formatCode>0.0000</c:formatCode>
                <c:ptCount val="15"/>
                <c:pt idx="0">
                  <c:v>-0.17045954510561179</c:v>
                </c:pt>
                <c:pt idx="1">
                  <c:v>-8.9654143487505694E-2</c:v>
                </c:pt>
                <c:pt idx="2">
                  <c:v>-0.19900936588074331</c:v>
                </c:pt>
                <c:pt idx="3">
                  <c:v>-0.18771265346876759</c:v>
                </c:pt>
                <c:pt idx="5">
                  <c:v>-0.15022625661371206</c:v>
                </c:pt>
                <c:pt idx="6">
                  <c:v>-0.15464131082899349</c:v>
                </c:pt>
                <c:pt idx="7">
                  <c:v>-0.23616858932229542</c:v>
                </c:pt>
                <c:pt idx="8">
                  <c:v>-0.18011072911343898</c:v>
                </c:pt>
                <c:pt idx="10">
                  <c:v>-0.15242931268112406</c:v>
                </c:pt>
                <c:pt idx="11">
                  <c:v>-0.25208955502884911</c:v>
                </c:pt>
                <c:pt idx="13">
                  <c:v>-0.16170892698565709</c:v>
                </c:pt>
                <c:pt idx="14">
                  <c:v>-0.17725014615310414</c:v>
                </c:pt>
              </c:numCache>
            </c:numRef>
          </c:val>
          <c:extLst>
            <c:ext xmlns:c16="http://schemas.microsoft.com/office/drawing/2014/chart" uri="{C3380CC4-5D6E-409C-BE32-E72D297353CC}">
              <c16:uniqueId val="{00000003-C688-4799-9E4E-24FEFB944334}"/>
            </c:ext>
          </c:extLst>
        </c:ser>
        <c:ser>
          <c:idx val="4"/>
          <c:order val="4"/>
          <c:tx>
            <c:strRef>
              <c:f>'Table S10'!$A$10</c:f>
              <c:strCache>
                <c:ptCount val="1"/>
                <c:pt idx="0">
                  <c:v>GL</c:v>
                </c:pt>
              </c:strCache>
            </c:strRef>
          </c:tx>
          <c:spPr>
            <a:solidFill>
              <a:schemeClr val="accent5"/>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S10'!$B$10:$P$10</c:f>
              <c:numCache>
                <c:formatCode>0.0000</c:formatCode>
                <c:ptCount val="15"/>
                <c:pt idx="0">
                  <c:v>-0.2420206381317532</c:v>
                </c:pt>
                <c:pt idx="1">
                  <c:v>-0.17323104742742235</c:v>
                </c:pt>
                <c:pt idx="2">
                  <c:v>-0.26685257656465156</c:v>
                </c:pt>
                <c:pt idx="3">
                  <c:v>-0.25821131354126919</c:v>
                </c:pt>
                <c:pt idx="13">
                  <c:v>-0.23507889391627407</c:v>
                </c:pt>
                <c:pt idx="14">
                  <c:v>-0.23507889391627407</c:v>
                </c:pt>
              </c:numCache>
            </c:numRef>
          </c:val>
          <c:extLst>
            <c:ext xmlns:c16="http://schemas.microsoft.com/office/drawing/2014/chart" uri="{C3380CC4-5D6E-409C-BE32-E72D297353CC}">
              <c16:uniqueId val="{00000004-C688-4799-9E4E-24FEFB944334}"/>
            </c:ext>
          </c:extLst>
        </c:ser>
        <c:ser>
          <c:idx val="5"/>
          <c:order val="5"/>
          <c:tx>
            <c:strRef>
              <c:f>'Table S10'!$A$11</c:f>
              <c:strCache>
                <c:ptCount val="1"/>
                <c:pt idx="0">
                  <c:v>ROW</c:v>
                </c:pt>
              </c:strCache>
            </c:strRef>
          </c:tx>
          <c:spPr>
            <a:solidFill>
              <a:schemeClr val="accent6"/>
            </a:solidFill>
            <a:ln>
              <a:noFill/>
            </a:ln>
            <a:effectLst/>
          </c:spPr>
          <c:invertIfNegative val="0"/>
          <c:cat>
            <c:strRef>
              <c:f>'Table S10'!$B$5:$P$5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S10'!$B$11:$P$11</c:f>
              <c:numCache>
                <c:formatCode>0.0000</c:formatCode>
                <c:ptCount val="15"/>
                <c:pt idx="0">
                  <c:v>-0.27006272855906471</c:v>
                </c:pt>
                <c:pt idx="1">
                  <c:v>-0.18779188300761226</c:v>
                </c:pt>
                <c:pt idx="2">
                  <c:v>-0.37953002212918552</c:v>
                </c:pt>
                <c:pt idx="3">
                  <c:v>-0.29414125304878758</c:v>
                </c:pt>
                <c:pt idx="13">
                  <c:v>-0.28288147168616251</c:v>
                </c:pt>
                <c:pt idx="14">
                  <c:v>-0.28288147168616251</c:v>
                </c:pt>
              </c:numCache>
            </c:numRef>
          </c:val>
          <c:extLst>
            <c:ext xmlns:c16="http://schemas.microsoft.com/office/drawing/2014/chart" uri="{C3380CC4-5D6E-409C-BE32-E72D297353CC}">
              <c16:uniqueId val="{00000005-C688-4799-9E4E-24FEFB944334}"/>
            </c:ext>
          </c:extLst>
        </c:ser>
        <c:dLbls>
          <c:showLegendKey val="0"/>
          <c:showVal val="0"/>
          <c:showCatName val="0"/>
          <c:showSerName val="0"/>
          <c:showPercent val="0"/>
          <c:showBubbleSize val="0"/>
        </c:dLbls>
        <c:gapWidth val="219"/>
        <c:overlap val="-27"/>
        <c:axId val="587233608"/>
        <c:axId val="587234264"/>
      </c:barChart>
      <c:catAx>
        <c:axId val="587233608"/>
        <c:scaling>
          <c:orientation val="minMax"/>
        </c:scaling>
        <c:delete val="0"/>
        <c:axPos val="b"/>
        <c:numFmt formatCode="General" sourceLinked="1"/>
        <c:majorTickMark val="none"/>
        <c:minorTickMark val="none"/>
        <c:tickLblPos val="high"/>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234264"/>
        <c:crosses val="autoZero"/>
        <c:auto val="1"/>
        <c:lblAlgn val="ctr"/>
        <c:lblOffset val="100"/>
        <c:noMultiLvlLbl val="0"/>
      </c:catAx>
      <c:valAx>
        <c:axId val="587234264"/>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r>
                  <a:rPr lang="en-GB" sz="1050" b="0" i="0" baseline="0">
                    <a:effectLst/>
                  </a:rPr>
                  <a:t>ΔCH</a:t>
                </a:r>
                <a:r>
                  <a:rPr lang="en-GB" sz="1050" b="0" i="0" baseline="-25000">
                    <a:effectLst/>
                  </a:rPr>
                  <a:t>4</a:t>
                </a:r>
                <a:r>
                  <a:rPr lang="en-GB" sz="1050" b="0" i="0" baseline="0">
                    <a:effectLst/>
                  </a:rPr>
                  <a:t>/</a:t>
                </a:r>
                <a:r>
                  <a:rPr lang="el-GR" sz="1050" b="0" i="0" baseline="0">
                    <a:effectLst/>
                  </a:rPr>
                  <a:t>Δ</a:t>
                </a:r>
                <a:r>
                  <a:rPr lang="en-GB" sz="1050" b="0" i="0" baseline="0">
                    <a:effectLst/>
                  </a:rPr>
                  <a:t>E</a:t>
                </a:r>
                <a:r>
                  <a:rPr lang="en-GB" sz="1050" b="0" i="0" baseline="-25000">
                    <a:effectLst/>
                  </a:rPr>
                  <a:t>NOx</a:t>
                </a:r>
                <a:r>
                  <a:rPr lang="en-GB" sz="1050" b="0" i="0" baseline="0">
                    <a:effectLst/>
                  </a:rPr>
                  <a:t> (ppb/(Tg(NO</a:t>
                </a:r>
                <a:r>
                  <a:rPr lang="en-GB" sz="1050" b="0" i="0" baseline="-25000">
                    <a:effectLst/>
                  </a:rPr>
                  <a:t>2</a:t>
                </a:r>
                <a:r>
                  <a:rPr lang="en-GB" sz="1050" b="0" i="0" baseline="0">
                    <a:effectLst/>
                  </a:rPr>
                  <a:t>)/yr)</a:t>
                </a:r>
                <a:endParaRPr lang="en-GB" sz="1050">
                  <a:effectLst/>
                </a:endParaRPr>
              </a:p>
            </c:rich>
          </c:tx>
          <c:layout>
            <c:manualLayout>
              <c:xMode val="edge"/>
              <c:yMode val="edge"/>
              <c:x val="2.5000082329733879E-2"/>
              <c:y val="0.36733566637503645"/>
            </c:manualLayout>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233608"/>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'Table S10'!$A$22</c:f>
              <c:strCache>
                <c:ptCount val="1"/>
                <c:pt idx="0">
                  <c:v>EU</c:v>
                </c:pt>
              </c:strCache>
            </c:strRef>
          </c:tx>
          <c:spPr>
            <a:solidFill>
              <a:schemeClr val="accent1"/>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S10'!$B$22:$P$22</c:f>
              <c:numCache>
                <c:formatCode>0.0000</c:formatCode>
                <c:ptCount val="15"/>
                <c:pt idx="0">
                  <c:v>2.3127005931081118E-2</c:v>
                </c:pt>
                <c:pt idx="1">
                  <c:v>2.9174390530931217E-2</c:v>
                </c:pt>
                <c:pt idx="2">
                  <c:v>1.5970328375630196E-2</c:v>
                </c:pt>
                <c:pt idx="3">
                  <c:v>1.9334567917937098E-2</c:v>
                </c:pt>
                <c:pt idx="5">
                  <c:v>1.0809957804450786E-2</c:v>
                </c:pt>
                <c:pt idx="6">
                  <c:v>1.633629913361034E-2</c:v>
                </c:pt>
                <c:pt idx="7">
                  <c:v>2.0074275430324265E-2</c:v>
                </c:pt>
                <c:pt idx="8">
                  <c:v>1.8602135343803894E-2</c:v>
                </c:pt>
                <c:pt idx="9">
                  <c:v>1.4553173100813315E-2</c:v>
                </c:pt>
                <c:pt idx="10">
                  <c:v>1.4348404736506766E-2</c:v>
                </c:pt>
                <c:pt idx="11">
                  <c:v>2.0350740902034235E-2</c:v>
                </c:pt>
                <c:pt idx="13">
                  <c:v>2.1901573188894907E-2</c:v>
                </c:pt>
                <c:pt idx="14">
                  <c:v>1.8425570837011202E-2</c:v>
                </c:pt>
              </c:numCache>
            </c:numRef>
          </c:val>
          <c:extLst>
            <c:ext xmlns:c16="http://schemas.microsoft.com/office/drawing/2014/chart" uri="{C3380CC4-5D6E-409C-BE32-E72D297353CC}">
              <c16:uniqueId val="{00000000-9C16-4E32-9E87-E95863995DB8}"/>
            </c:ext>
          </c:extLst>
        </c:ser>
        <c:ser>
          <c:idx val="1"/>
          <c:order val="1"/>
          <c:tx>
            <c:strRef>
              <c:f>'Table S10'!$A$23</c:f>
              <c:strCache>
                <c:ptCount val="1"/>
                <c:pt idx="0">
                  <c:v>NA</c:v>
                </c:pt>
              </c:strCache>
            </c:strRef>
          </c:tx>
          <c:spPr>
            <a:solidFill>
              <a:schemeClr val="accent2"/>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S10'!$B$23:$P$23</c:f>
              <c:numCache>
                <c:formatCode>0.0000</c:formatCode>
                <c:ptCount val="15"/>
                <c:pt idx="0">
                  <c:v>2.250164773896568E-2</c:v>
                </c:pt>
                <c:pt idx="1">
                  <c:v>2.7851610765590517E-2</c:v>
                </c:pt>
                <c:pt idx="2">
                  <c:v>1.6547562357379943E-2</c:v>
                </c:pt>
                <c:pt idx="3">
                  <c:v>1.739291198997138E-2</c:v>
                </c:pt>
                <c:pt idx="5">
                  <c:v>6.8153318491179478E-3</c:v>
                </c:pt>
                <c:pt idx="6">
                  <c:v>1.6385867204183977E-2</c:v>
                </c:pt>
                <c:pt idx="7">
                  <c:v>1.9723747481809308E-2</c:v>
                </c:pt>
                <c:pt idx="8">
                  <c:v>1.8441750467316956E-2</c:v>
                </c:pt>
                <c:pt idx="9">
                  <c:v>1.4815035819633076E-2</c:v>
                </c:pt>
                <c:pt idx="10">
                  <c:v>1.4574224365572498E-2</c:v>
                </c:pt>
                <c:pt idx="11">
                  <c:v>2.0319559844939647E-2</c:v>
                </c:pt>
                <c:pt idx="13">
                  <c:v>2.1073433212976882E-2</c:v>
                </c:pt>
                <c:pt idx="14">
                  <c:v>1.7760840898589172E-2</c:v>
                </c:pt>
              </c:numCache>
            </c:numRef>
          </c:val>
          <c:extLst>
            <c:ext xmlns:c16="http://schemas.microsoft.com/office/drawing/2014/chart" uri="{C3380CC4-5D6E-409C-BE32-E72D297353CC}">
              <c16:uniqueId val="{00000001-9C16-4E32-9E87-E95863995DB8}"/>
            </c:ext>
          </c:extLst>
        </c:ser>
        <c:ser>
          <c:idx val="2"/>
          <c:order val="2"/>
          <c:tx>
            <c:strRef>
              <c:f>'Table S10'!$A$24</c:f>
              <c:strCache>
                <c:ptCount val="1"/>
                <c:pt idx="0">
                  <c:v>SA</c:v>
                </c:pt>
              </c:strCache>
            </c:strRef>
          </c:tx>
          <c:spPr>
            <a:solidFill>
              <a:schemeClr val="accent3"/>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S10'!$B$24:$P$24</c:f>
              <c:numCache>
                <c:formatCode>0.0000</c:formatCode>
                <c:ptCount val="15"/>
                <c:pt idx="0">
                  <c:v>2.0922911507867147E-2</c:v>
                </c:pt>
                <c:pt idx="1">
                  <c:v>2.4754047690847703E-2</c:v>
                </c:pt>
                <c:pt idx="2">
                  <c:v>1.5956712416848932E-2</c:v>
                </c:pt>
                <c:pt idx="3">
                  <c:v>2.0678249525094825E-2</c:v>
                </c:pt>
                <c:pt idx="5">
                  <c:v>1.510596679589341E-2</c:v>
                </c:pt>
                <c:pt idx="6">
                  <c:v>1.6128469533590623E-2</c:v>
                </c:pt>
                <c:pt idx="7">
                  <c:v>1.840469798636616E-2</c:v>
                </c:pt>
                <c:pt idx="8">
                  <c:v>1.7809570240472205E-2</c:v>
                </c:pt>
                <c:pt idx="9">
                  <c:v>1.4877901794094326E-2</c:v>
                </c:pt>
                <c:pt idx="10">
                  <c:v>1.4593531456436742E-2</c:v>
                </c:pt>
                <c:pt idx="11">
                  <c:v>1.7998675020825531E-2</c:v>
                </c:pt>
                <c:pt idx="13">
                  <c:v>2.0577980285164651E-2</c:v>
                </c:pt>
                <c:pt idx="14">
                  <c:v>1.7930066724394324E-2</c:v>
                </c:pt>
              </c:numCache>
            </c:numRef>
          </c:val>
          <c:extLst>
            <c:ext xmlns:c16="http://schemas.microsoft.com/office/drawing/2014/chart" uri="{C3380CC4-5D6E-409C-BE32-E72D297353CC}">
              <c16:uniqueId val="{00000002-9C16-4E32-9E87-E95863995DB8}"/>
            </c:ext>
          </c:extLst>
        </c:ser>
        <c:ser>
          <c:idx val="3"/>
          <c:order val="3"/>
          <c:tx>
            <c:strRef>
              <c:f>'Table S10'!$A$25</c:f>
              <c:strCache>
                <c:ptCount val="1"/>
                <c:pt idx="0">
                  <c:v>EA</c:v>
                </c:pt>
              </c:strCache>
            </c:strRef>
          </c:tx>
          <c:spPr>
            <a:solidFill>
              <a:schemeClr val="accent4"/>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S10'!$B$25:$P$25</c:f>
              <c:numCache>
                <c:formatCode>0.0000</c:formatCode>
                <c:ptCount val="15"/>
                <c:pt idx="0">
                  <c:v>2.1440880673607148E-2</c:v>
                </c:pt>
                <c:pt idx="1">
                  <c:v>2.530229272946655E-2</c:v>
                </c:pt>
                <c:pt idx="2">
                  <c:v>1.62789865564128E-2</c:v>
                </c:pt>
                <c:pt idx="3">
                  <c:v>2.0618355200587142E-2</c:v>
                </c:pt>
                <c:pt idx="5">
                  <c:v>1.2739256532719252E-2</c:v>
                </c:pt>
                <c:pt idx="6">
                  <c:v>1.573672359874308E-2</c:v>
                </c:pt>
                <c:pt idx="7">
                  <c:v>1.9292591128250752E-2</c:v>
                </c:pt>
                <c:pt idx="8">
                  <c:v>1.8047346139384045E-2</c:v>
                </c:pt>
                <c:pt idx="9">
                  <c:v>1.49369790251504E-2</c:v>
                </c:pt>
                <c:pt idx="10">
                  <c:v>1.3846562319079117E-2</c:v>
                </c:pt>
                <c:pt idx="11">
                  <c:v>1.917390756401877E-2</c:v>
                </c:pt>
                <c:pt idx="13">
                  <c:v>2.0910128790018412E-2</c:v>
                </c:pt>
                <c:pt idx="14">
                  <c:v>1.7946716497038096E-2</c:v>
                </c:pt>
              </c:numCache>
            </c:numRef>
          </c:val>
          <c:extLst>
            <c:ext xmlns:c16="http://schemas.microsoft.com/office/drawing/2014/chart" uri="{C3380CC4-5D6E-409C-BE32-E72D297353CC}">
              <c16:uniqueId val="{00000003-9C16-4E32-9E87-E95863995DB8}"/>
            </c:ext>
          </c:extLst>
        </c:ser>
        <c:ser>
          <c:idx val="4"/>
          <c:order val="4"/>
          <c:tx>
            <c:strRef>
              <c:f>'Table S10'!$A$26</c:f>
              <c:strCache>
                <c:ptCount val="1"/>
                <c:pt idx="0">
                  <c:v>GL</c:v>
                </c:pt>
              </c:strCache>
            </c:strRef>
          </c:tx>
          <c:spPr>
            <a:solidFill>
              <a:schemeClr val="accent5"/>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S10'!$B$26:$P$26</c:f>
              <c:numCache>
                <c:formatCode>0.0000</c:formatCode>
                <c:ptCount val="15"/>
                <c:pt idx="0">
                  <c:v>2.2138157107316477E-2</c:v>
                </c:pt>
                <c:pt idx="1">
                  <c:v>2.59723964477514E-2</c:v>
                </c:pt>
                <c:pt idx="2">
                  <c:v>1.6508026311526015E-2</c:v>
                </c:pt>
                <c:pt idx="3">
                  <c:v>2.0383139426824282E-2</c:v>
                </c:pt>
                <c:pt idx="13">
                  <c:v>2.1250429823354542E-2</c:v>
                </c:pt>
                <c:pt idx="14">
                  <c:v>2.1250429823354542E-2</c:v>
                </c:pt>
              </c:numCache>
            </c:numRef>
          </c:val>
          <c:extLst>
            <c:ext xmlns:c16="http://schemas.microsoft.com/office/drawing/2014/chart" uri="{C3380CC4-5D6E-409C-BE32-E72D297353CC}">
              <c16:uniqueId val="{00000004-9C16-4E32-9E87-E95863995DB8}"/>
            </c:ext>
          </c:extLst>
        </c:ser>
        <c:ser>
          <c:idx val="5"/>
          <c:order val="5"/>
          <c:tx>
            <c:strRef>
              <c:f>'Table S10'!$A$27</c:f>
              <c:strCache>
                <c:ptCount val="1"/>
                <c:pt idx="0">
                  <c:v>ROW</c:v>
                </c:pt>
              </c:strCache>
            </c:strRef>
          </c:tx>
          <c:spPr>
            <a:solidFill>
              <a:schemeClr val="accent6"/>
            </a:solidFill>
            <a:ln>
              <a:noFill/>
            </a:ln>
            <a:effectLst/>
          </c:spPr>
          <c:invertIfNegative val="0"/>
          <c:cat>
            <c:strRef>
              <c:f>'Table S10'!$B$21:$P$21</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S10'!$B$27:$P$27</c:f>
              <c:numCache>
                <c:formatCode>0.0000</c:formatCode>
                <c:ptCount val="15"/>
                <c:pt idx="0">
                  <c:v>1.378867160923662E-2</c:v>
                </c:pt>
                <c:pt idx="1">
                  <c:v>1.9942187915564218E-2</c:v>
                </c:pt>
                <c:pt idx="2">
                  <c:v>1.0179011558403525E-2</c:v>
                </c:pt>
                <c:pt idx="3">
                  <c:v>1.3826745357929698E-2</c:v>
                </c:pt>
                <c:pt idx="13">
                  <c:v>1.4434154110283516E-2</c:v>
                </c:pt>
                <c:pt idx="14">
                  <c:v>1.4434154110283516E-2</c:v>
                </c:pt>
              </c:numCache>
            </c:numRef>
          </c:val>
          <c:extLst>
            <c:ext xmlns:c16="http://schemas.microsoft.com/office/drawing/2014/chart" uri="{C3380CC4-5D6E-409C-BE32-E72D297353CC}">
              <c16:uniqueId val="{00000005-9C16-4E32-9E87-E95863995DB8}"/>
            </c:ext>
          </c:extLst>
        </c:ser>
        <c:dLbls>
          <c:showLegendKey val="0"/>
          <c:showVal val="0"/>
          <c:showCatName val="0"/>
          <c:showSerName val="0"/>
          <c:showPercent val="0"/>
          <c:showBubbleSize val="0"/>
        </c:dLbls>
        <c:gapWidth val="219"/>
        <c:overlap val="-27"/>
        <c:axId val="407268872"/>
        <c:axId val="407266904"/>
      </c:barChart>
      <c:catAx>
        <c:axId val="4072688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7266904"/>
        <c:crosses val="autoZero"/>
        <c:auto val="1"/>
        <c:lblAlgn val="ctr"/>
        <c:lblOffset val="100"/>
        <c:noMultiLvlLbl val="0"/>
      </c:catAx>
      <c:valAx>
        <c:axId val="407266904"/>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r>
                  <a:rPr lang="en-GB" sz="1050" b="0" i="0" baseline="0">
                    <a:effectLst/>
                  </a:rPr>
                  <a:t>ΔCH</a:t>
                </a:r>
                <a:r>
                  <a:rPr lang="en-GB" sz="1050" b="0" i="0" baseline="-25000">
                    <a:effectLst/>
                  </a:rPr>
                  <a:t>4</a:t>
                </a:r>
                <a:r>
                  <a:rPr lang="en-GB" sz="1050" b="0" i="0" baseline="0">
                    <a:effectLst/>
                  </a:rPr>
                  <a:t>/</a:t>
                </a:r>
                <a:r>
                  <a:rPr lang="el-GR" sz="1050" b="0" i="0" baseline="0">
                    <a:effectLst/>
                  </a:rPr>
                  <a:t>Δ</a:t>
                </a:r>
                <a:r>
                  <a:rPr lang="en-GB" sz="1050" b="0" i="0" baseline="0">
                    <a:effectLst/>
                  </a:rPr>
                  <a:t>E</a:t>
                </a:r>
                <a:r>
                  <a:rPr lang="en-GB" sz="1050" b="0" i="0" baseline="-25000">
                    <a:effectLst/>
                  </a:rPr>
                  <a:t>CO</a:t>
                </a:r>
                <a:r>
                  <a:rPr lang="en-GB" sz="1050" b="0" i="0" baseline="0">
                    <a:effectLst/>
                  </a:rPr>
                  <a:t> (ppb/(Tg(CO)/yr)</a:t>
                </a:r>
                <a:endParaRPr lang="en-GB" sz="105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endParaRPr lang="en-US"/>
            </a:p>
          </c:txPr>
        </c:title>
        <c:numFmt formatCode="0.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7268872"/>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'Table S10'!$A$14</c:f>
              <c:strCache>
                <c:ptCount val="1"/>
                <c:pt idx="0">
                  <c:v>EU</c:v>
                </c:pt>
              </c:strCache>
            </c:strRef>
          </c:tx>
          <c:spPr>
            <a:solidFill>
              <a:schemeClr val="accent1"/>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S10'!$B$14:$P$14</c:f>
              <c:numCache>
                <c:formatCode>0.0000</c:formatCode>
                <c:ptCount val="15"/>
                <c:pt idx="0">
                  <c:v>4.9841714071124914E-2</c:v>
                </c:pt>
                <c:pt idx="1">
                  <c:v>-6.1677627171487295E-3</c:v>
                </c:pt>
                <c:pt idx="2">
                  <c:v>2.8718761528931495E-2</c:v>
                </c:pt>
                <c:pt idx="3">
                  <c:v>5.8431100596109939E-2</c:v>
                </c:pt>
                <c:pt idx="5">
                  <c:v>3.9549777131942347E-2</c:v>
                </c:pt>
                <c:pt idx="6">
                  <c:v>6.9353933939409279E-2</c:v>
                </c:pt>
                <c:pt idx="7">
                  <c:v>4.3729788232310655E-2</c:v>
                </c:pt>
                <c:pt idx="9">
                  <c:v>8.3225863915751916E-2</c:v>
                </c:pt>
                <c:pt idx="10">
                  <c:v>1.6380882957465936E-2</c:v>
                </c:pt>
                <c:pt idx="11">
                  <c:v>6.3562933365320762E-2</c:v>
                </c:pt>
                <c:pt idx="13">
                  <c:v>3.2705953369754404E-2</c:v>
                </c:pt>
                <c:pt idx="14">
                  <c:v>4.4662699302121849E-2</c:v>
                </c:pt>
              </c:numCache>
            </c:numRef>
          </c:val>
          <c:extLst>
            <c:ext xmlns:c16="http://schemas.microsoft.com/office/drawing/2014/chart" uri="{C3380CC4-5D6E-409C-BE32-E72D297353CC}">
              <c16:uniqueId val="{00000000-B99A-40E6-B849-FD654DB5C45F}"/>
            </c:ext>
          </c:extLst>
        </c:ser>
        <c:ser>
          <c:idx val="1"/>
          <c:order val="1"/>
          <c:tx>
            <c:strRef>
              <c:f>'Table S10'!$A$15</c:f>
              <c:strCache>
                <c:ptCount val="1"/>
                <c:pt idx="0">
                  <c:v>NA</c:v>
                </c:pt>
              </c:strCache>
            </c:strRef>
          </c:tx>
          <c:spPr>
            <a:solidFill>
              <a:schemeClr val="accent2"/>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S10'!$B$15:$P$15</c:f>
              <c:numCache>
                <c:formatCode>0.0000</c:formatCode>
                <c:ptCount val="15"/>
                <c:pt idx="0">
                  <c:v>4.3226138761461606E-2</c:v>
                </c:pt>
                <c:pt idx="1">
                  <c:v>-8.17414336007663E-3</c:v>
                </c:pt>
                <c:pt idx="2">
                  <c:v>1.5378364016272001E-2</c:v>
                </c:pt>
                <c:pt idx="3">
                  <c:v>2.8914556238691904E-2</c:v>
                </c:pt>
                <c:pt idx="5">
                  <c:v>2.6446920982885761E-2</c:v>
                </c:pt>
                <c:pt idx="6">
                  <c:v>7.0354640763810955E-2</c:v>
                </c:pt>
                <c:pt idx="7">
                  <c:v>5.4636235020450279E-2</c:v>
                </c:pt>
                <c:pt idx="9">
                  <c:v>7.3252319360347817E-2</c:v>
                </c:pt>
                <c:pt idx="10">
                  <c:v>1.3610798291902943E-2</c:v>
                </c:pt>
                <c:pt idx="11">
                  <c:v>6.1996432034626854E-2</c:v>
                </c:pt>
                <c:pt idx="13">
                  <c:v>1.983622891408722E-2</c:v>
                </c:pt>
                <c:pt idx="14">
                  <c:v>3.7964226211037351E-2</c:v>
                </c:pt>
              </c:numCache>
            </c:numRef>
          </c:val>
          <c:extLst>
            <c:ext xmlns:c16="http://schemas.microsoft.com/office/drawing/2014/chart" uri="{C3380CC4-5D6E-409C-BE32-E72D297353CC}">
              <c16:uniqueId val="{00000001-B99A-40E6-B849-FD654DB5C45F}"/>
            </c:ext>
          </c:extLst>
        </c:ser>
        <c:ser>
          <c:idx val="2"/>
          <c:order val="2"/>
          <c:tx>
            <c:strRef>
              <c:f>'Table S10'!$A$16</c:f>
              <c:strCache>
                <c:ptCount val="1"/>
                <c:pt idx="0">
                  <c:v>SA</c:v>
                </c:pt>
              </c:strCache>
            </c:strRef>
          </c:tx>
          <c:spPr>
            <a:solidFill>
              <a:schemeClr val="accent3"/>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S10'!$B$16:$P$16</c:f>
              <c:numCache>
                <c:formatCode>0.0000</c:formatCode>
                <c:ptCount val="15"/>
                <c:pt idx="0">
                  <c:v>6.0629260416220493E-2</c:v>
                </c:pt>
                <c:pt idx="1">
                  <c:v>5.6056449145893581E-3</c:v>
                </c:pt>
                <c:pt idx="2">
                  <c:v>3.0938724889947498E-2</c:v>
                </c:pt>
                <c:pt idx="3">
                  <c:v>6.4097166844200346E-2</c:v>
                </c:pt>
                <c:pt idx="5">
                  <c:v>4.2286480824165203E-2</c:v>
                </c:pt>
                <c:pt idx="6">
                  <c:v>6.5190749864062522E-2</c:v>
                </c:pt>
                <c:pt idx="7">
                  <c:v>4.0898376569337945E-2</c:v>
                </c:pt>
                <c:pt idx="9">
                  <c:v>6.6593898227690448E-2</c:v>
                </c:pt>
                <c:pt idx="10">
                  <c:v>3.1037462445724931E-2</c:v>
                </c:pt>
                <c:pt idx="11">
                  <c:v>5.7550271189057589E-2</c:v>
                </c:pt>
                <c:pt idx="13">
                  <c:v>4.0317699266239418E-2</c:v>
                </c:pt>
                <c:pt idx="14">
                  <c:v>4.648280361849963E-2</c:v>
                </c:pt>
              </c:numCache>
            </c:numRef>
          </c:val>
          <c:extLst>
            <c:ext xmlns:c16="http://schemas.microsoft.com/office/drawing/2014/chart" uri="{C3380CC4-5D6E-409C-BE32-E72D297353CC}">
              <c16:uniqueId val="{00000002-B99A-40E6-B849-FD654DB5C45F}"/>
            </c:ext>
          </c:extLst>
        </c:ser>
        <c:ser>
          <c:idx val="3"/>
          <c:order val="3"/>
          <c:tx>
            <c:strRef>
              <c:f>'Table S10'!$A$17</c:f>
              <c:strCache>
                <c:ptCount val="1"/>
                <c:pt idx="0">
                  <c:v>EA</c:v>
                </c:pt>
              </c:strCache>
            </c:strRef>
          </c:tx>
          <c:spPr>
            <a:solidFill>
              <a:schemeClr val="accent4"/>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S10'!$B$17:$P$17</c:f>
              <c:numCache>
                <c:formatCode>0.0000</c:formatCode>
                <c:ptCount val="15"/>
                <c:pt idx="0">
                  <c:v>4.0385079699832412E-2</c:v>
                </c:pt>
                <c:pt idx="1">
                  <c:v>-1.1934109376973619E-2</c:v>
                </c:pt>
                <c:pt idx="2">
                  <c:v>1.0843934127528466E-2</c:v>
                </c:pt>
                <c:pt idx="3">
                  <c:v>4.3861530107574209E-2</c:v>
                </c:pt>
                <c:pt idx="5">
                  <c:v>2.9987280403380383E-2</c:v>
                </c:pt>
                <c:pt idx="6">
                  <c:v>5.2889981964815425E-2</c:v>
                </c:pt>
                <c:pt idx="7">
                  <c:v>3.4653268274860878E-2</c:v>
                </c:pt>
                <c:pt idx="9">
                  <c:v>2.6289498646072194E-2</c:v>
                </c:pt>
                <c:pt idx="10">
                  <c:v>1.2901413189572454E-2</c:v>
                </c:pt>
                <c:pt idx="11">
                  <c:v>5.1357758776726381E-2</c:v>
                </c:pt>
                <c:pt idx="13">
                  <c:v>2.0789108639490367E-2</c:v>
                </c:pt>
                <c:pt idx="14">
                  <c:v>2.912356358133892E-2</c:v>
                </c:pt>
              </c:numCache>
            </c:numRef>
          </c:val>
          <c:extLst>
            <c:ext xmlns:c16="http://schemas.microsoft.com/office/drawing/2014/chart" uri="{C3380CC4-5D6E-409C-BE32-E72D297353CC}">
              <c16:uniqueId val="{00000003-B99A-40E6-B849-FD654DB5C45F}"/>
            </c:ext>
          </c:extLst>
        </c:ser>
        <c:ser>
          <c:idx val="4"/>
          <c:order val="4"/>
          <c:tx>
            <c:strRef>
              <c:f>'Table S10'!$A$18</c:f>
              <c:strCache>
                <c:ptCount val="1"/>
                <c:pt idx="0">
                  <c:v>GL</c:v>
                </c:pt>
              </c:strCache>
            </c:strRef>
          </c:tx>
          <c:spPr>
            <a:solidFill>
              <a:schemeClr val="accent5"/>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S10'!$B$18:$P$18</c:f>
              <c:numCache>
                <c:formatCode>0.0000</c:formatCode>
                <c:ptCount val="15"/>
                <c:pt idx="0">
                  <c:v>4.2203563127180904E-2</c:v>
                </c:pt>
                <c:pt idx="1">
                  <c:v>-1.6141361590309901E-4</c:v>
                </c:pt>
                <c:pt idx="2">
                  <c:v>2.5223822004230487E-2</c:v>
                </c:pt>
                <c:pt idx="3">
                  <c:v>6.8258097275155388E-2</c:v>
                </c:pt>
                <c:pt idx="13">
                  <c:v>3.3881017197665925E-2</c:v>
                </c:pt>
                <c:pt idx="14">
                  <c:v>3.3881017197665925E-2</c:v>
                </c:pt>
              </c:numCache>
            </c:numRef>
          </c:val>
          <c:extLst>
            <c:ext xmlns:c16="http://schemas.microsoft.com/office/drawing/2014/chart" uri="{C3380CC4-5D6E-409C-BE32-E72D297353CC}">
              <c16:uniqueId val="{00000004-B99A-40E6-B849-FD654DB5C45F}"/>
            </c:ext>
          </c:extLst>
        </c:ser>
        <c:ser>
          <c:idx val="5"/>
          <c:order val="5"/>
          <c:tx>
            <c:strRef>
              <c:f>'Table S10'!$A$19</c:f>
              <c:strCache>
                <c:ptCount val="1"/>
                <c:pt idx="0">
                  <c:v>ROW</c:v>
                </c:pt>
              </c:strCache>
            </c:strRef>
          </c:tx>
          <c:spPr>
            <a:solidFill>
              <a:schemeClr val="accent6"/>
            </a:solidFill>
            <a:ln>
              <a:noFill/>
            </a:ln>
            <a:effectLst/>
          </c:spPr>
          <c:invertIfNegative val="0"/>
          <c:cat>
            <c:strRef>
              <c:f>'Table S10'!$B$13:$P$13</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S10'!$B$19:$P$19</c:f>
              <c:numCache>
                <c:formatCode>0.0000</c:formatCode>
                <c:ptCount val="15"/>
                <c:pt idx="0">
                  <c:v>2.500871417101223E-2</c:v>
                </c:pt>
                <c:pt idx="1">
                  <c:v>5.1891223836457367E-3</c:v>
                </c:pt>
                <c:pt idx="2">
                  <c:v>2.0946498611713701E-2</c:v>
                </c:pt>
                <c:pt idx="3">
                  <c:v>6.7187264031553048E-2</c:v>
                </c:pt>
                <c:pt idx="13">
                  <c:v>2.9582899799481178E-2</c:v>
                </c:pt>
                <c:pt idx="14">
                  <c:v>2.9582899799481178E-2</c:v>
                </c:pt>
              </c:numCache>
            </c:numRef>
          </c:val>
          <c:extLst>
            <c:ext xmlns:c16="http://schemas.microsoft.com/office/drawing/2014/chart" uri="{C3380CC4-5D6E-409C-BE32-E72D297353CC}">
              <c16:uniqueId val="{00000005-B99A-40E6-B849-FD654DB5C45F}"/>
            </c:ext>
          </c:extLst>
        </c:ser>
        <c:dLbls>
          <c:showLegendKey val="0"/>
          <c:showVal val="0"/>
          <c:showCatName val="0"/>
          <c:showSerName val="0"/>
          <c:showPercent val="0"/>
          <c:showBubbleSize val="0"/>
        </c:dLbls>
        <c:gapWidth val="219"/>
        <c:overlap val="-27"/>
        <c:axId val="457703120"/>
        <c:axId val="457705416"/>
      </c:barChart>
      <c:catAx>
        <c:axId val="45770312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7705416"/>
        <c:crosses val="autoZero"/>
        <c:auto val="1"/>
        <c:lblAlgn val="ctr"/>
        <c:lblOffset val="100"/>
        <c:noMultiLvlLbl val="0"/>
      </c:catAx>
      <c:valAx>
        <c:axId val="457705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r>
                  <a:rPr lang="en-GB" sz="1050" b="0" i="0" baseline="0">
                    <a:effectLst/>
                  </a:rPr>
                  <a:t>ΔCH</a:t>
                </a:r>
                <a:r>
                  <a:rPr lang="en-GB" sz="1050" b="0" i="0" baseline="-25000">
                    <a:effectLst/>
                  </a:rPr>
                  <a:t>4</a:t>
                </a:r>
                <a:r>
                  <a:rPr lang="en-GB" sz="1050" b="0" i="0" baseline="0">
                    <a:effectLst/>
                  </a:rPr>
                  <a:t>/</a:t>
                </a:r>
                <a:r>
                  <a:rPr lang="el-GR" sz="1050" b="0" i="0" baseline="0">
                    <a:effectLst/>
                  </a:rPr>
                  <a:t>Δ</a:t>
                </a:r>
                <a:r>
                  <a:rPr lang="en-GB" sz="1050" b="0" i="0" baseline="0">
                    <a:effectLst/>
                  </a:rPr>
                  <a:t>E</a:t>
                </a:r>
                <a:r>
                  <a:rPr lang="en-GB" sz="1050" b="0" i="0" baseline="-25000">
                    <a:effectLst/>
                  </a:rPr>
                  <a:t>NMVOC</a:t>
                </a:r>
                <a:r>
                  <a:rPr lang="en-GB" sz="1050" b="0" i="0" baseline="0">
                    <a:effectLst/>
                  </a:rPr>
                  <a:t> (ppb/(Tg(C)/yr)</a:t>
                </a:r>
                <a:endParaRPr lang="en-GB" sz="105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50" b="0" i="0" u="none" strike="noStrike" kern="1200" baseline="0">
                  <a:solidFill>
                    <a:sysClr val="windowText" lastClr="000000">
                      <a:lumMod val="65000"/>
                      <a:lumOff val="35000"/>
                    </a:sysClr>
                  </a:solidFill>
                  <a:latin typeface="+mn-lt"/>
                  <a:ea typeface="+mn-ea"/>
                  <a:cs typeface="+mn-cs"/>
                </a:defRPr>
              </a:pPr>
              <a:endParaRPr lang="en-US"/>
            </a:p>
          </c:txPr>
        </c:title>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7703120"/>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'Table S12'!$A$6</c:f>
              <c:strCache>
                <c:ptCount val="1"/>
                <c:pt idx="0">
                  <c:v>EU</c:v>
                </c:pt>
              </c:strCache>
            </c:strRef>
          </c:tx>
          <c:spPr>
            <a:solidFill>
              <a:schemeClr val="accent1"/>
            </a:solid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S12'!$B$6:$P$6</c:f>
              <c:numCache>
                <c:formatCode>0.000</c:formatCode>
                <c:ptCount val="15"/>
                <c:pt idx="0">
                  <c:v>0.31036843737941622</c:v>
                </c:pt>
                <c:pt idx="1">
                  <c:v>0.16632539056460019</c:v>
                </c:pt>
                <c:pt idx="2">
                  <c:v>0.27933907678020181</c:v>
                </c:pt>
                <c:pt idx="3">
                  <c:v>0.33529403657007595</c:v>
                </c:pt>
                <c:pt idx="5">
                  <c:v>0.28267361640870631</c:v>
                </c:pt>
                <c:pt idx="6">
                  <c:v>0.3202411684291348</c:v>
                </c:pt>
                <c:pt idx="7">
                  <c:v>0.38874876203613401</c:v>
                </c:pt>
                <c:pt idx="8">
                  <c:v>0.33632088591459119</c:v>
                </c:pt>
                <c:pt idx="10">
                  <c:v>0.31493751063955089</c:v>
                </c:pt>
                <c:pt idx="11">
                  <c:v>0.35756266995546043</c:v>
                </c:pt>
                <c:pt idx="13" formatCode="0.0000">
                  <c:v>0.27283173532357352</c:v>
                </c:pt>
                <c:pt idx="14" formatCode="0.0000">
                  <c:v>0.30918115546778713</c:v>
                </c:pt>
              </c:numCache>
            </c:numRef>
          </c:val>
          <c:extLst>
            <c:ext xmlns:c16="http://schemas.microsoft.com/office/drawing/2014/chart" uri="{C3380CC4-5D6E-409C-BE32-E72D297353CC}">
              <c16:uniqueId val="{00000000-CA6B-41AD-933A-CD83CAFFD6D3}"/>
            </c:ext>
          </c:extLst>
        </c:ser>
        <c:ser>
          <c:idx val="1"/>
          <c:order val="1"/>
          <c:tx>
            <c:strRef>
              <c:f>'Table S12'!$A$7</c:f>
              <c:strCache>
                <c:ptCount val="1"/>
                <c:pt idx="0">
                  <c:v>NA</c:v>
                </c:pt>
              </c:strCache>
            </c:strRef>
          </c:tx>
          <c:spPr>
            <a:solidFill>
              <a:schemeClr val="accent2"/>
            </a:solid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S12'!$B$7:$P$7</c:f>
              <c:numCache>
                <c:formatCode>0.000</c:formatCode>
                <c:ptCount val="15"/>
                <c:pt idx="0">
                  <c:v>0.45805152243583358</c:v>
                </c:pt>
                <c:pt idx="1">
                  <c:v>0.28144210094088773</c:v>
                </c:pt>
                <c:pt idx="2">
                  <c:v>0.44269585482192658</c:v>
                </c:pt>
                <c:pt idx="3">
                  <c:v>0.47139142907606268</c:v>
                </c:pt>
                <c:pt idx="5">
                  <c:v>0.44867281044588836</c:v>
                </c:pt>
                <c:pt idx="6">
                  <c:v>0.53889226818316771</c:v>
                </c:pt>
                <c:pt idx="7">
                  <c:v>0.67860792268655612</c:v>
                </c:pt>
                <c:pt idx="8">
                  <c:v>0.47432036164139701</c:v>
                </c:pt>
                <c:pt idx="10">
                  <c:v>0.47013048876254021</c:v>
                </c:pt>
                <c:pt idx="11">
                  <c:v>0.67705408476630946</c:v>
                </c:pt>
                <c:pt idx="13" formatCode="0.0000">
                  <c:v>0.41339522681867769</c:v>
                </c:pt>
                <c:pt idx="14" formatCode="0.0000">
                  <c:v>0.49412588437605692</c:v>
                </c:pt>
              </c:numCache>
            </c:numRef>
          </c:val>
          <c:extLst>
            <c:ext xmlns:c16="http://schemas.microsoft.com/office/drawing/2014/chart" uri="{C3380CC4-5D6E-409C-BE32-E72D297353CC}">
              <c16:uniqueId val="{00000001-CA6B-41AD-933A-CD83CAFFD6D3}"/>
            </c:ext>
          </c:extLst>
        </c:ser>
        <c:ser>
          <c:idx val="2"/>
          <c:order val="2"/>
          <c:tx>
            <c:strRef>
              <c:f>'Table S12'!$A$8</c:f>
              <c:strCache>
                <c:ptCount val="1"/>
                <c:pt idx="0">
                  <c:v>SA</c:v>
                </c:pt>
              </c:strCache>
            </c:strRef>
          </c:tx>
          <c:spPr>
            <a:solidFill>
              <a:schemeClr val="accent3"/>
            </a:solid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S12'!$B$8:$P$8</c:f>
              <c:numCache>
                <c:formatCode>0.000</c:formatCode>
                <c:ptCount val="15"/>
                <c:pt idx="0">
                  <c:v>1.3673334414547793</c:v>
                </c:pt>
                <c:pt idx="1">
                  <c:v>0.94733324159189136</c:v>
                </c:pt>
                <c:pt idx="2">
                  <c:v>1.3435449715288128</c:v>
                </c:pt>
                <c:pt idx="3">
                  <c:v>1.3747723749244618</c:v>
                </c:pt>
                <c:pt idx="5">
                  <c:v>0.93247951756904368</c:v>
                </c:pt>
                <c:pt idx="6">
                  <c:v>0.93687662567606245</c:v>
                </c:pt>
                <c:pt idx="7">
                  <c:v>1.5062198624838625</c:v>
                </c:pt>
                <c:pt idx="8">
                  <c:v>1.0937361183828596</c:v>
                </c:pt>
                <c:pt idx="10">
                  <c:v>1.2853689000031434</c:v>
                </c:pt>
                <c:pt idx="11">
                  <c:v>2.2277339254552655</c:v>
                </c:pt>
                <c:pt idx="13" formatCode="0.0000">
                  <c:v>1.2582460073749862</c:v>
                </c:pt>
                <c:pt idx="14" formatCode="0.0000">
                  <c:v>1.3015398979070181</c:v>
                </c:pt>
              </c:numCache>
            </c:numRef>
          </c:val>
          <c:extLst>
            <c:ext xmlns:c16="http://schemas.microsoft.com/office/drawing/2014/chart" uri="{C3380CC4-5D6E-409C-BE32-E72D297353CC}">
              <c16:uniqueId val="{00000002-CA6B-41AD-933A-CD83CAFFD6D3}"/>
            </c:ext>
          </c:extLst>
        </c:ser>
        <c:ser>
          <c:idx val="3"/>
          <c:order val="3"/>
          <c:tx>
            <c:strRef>
              <c:f>'Table S12'!$A$9</c:f>
              <c:strCache>
                <c:ptCount val="1"/>
                <c:pt idx="0">
                  <c:v>EA</c:v>
                </c:pt>
              </c:strCache>
            </c:strRef>
          </c:tx>
          <c:spPr>
            <a:solidFill>
              <a:schemeClr val="accent4"/>
            </a:solid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S12'!$B$9:$P$9</c:f>
              <c:numCache>
                <c:formatCode>0.000</c:formatCode>
                <c:ptCount val="15"/>
                <c:pt idx="0">
                  <c:v>0.75704880242013717</c:v>
                </c:pt>
                <c:pt idx="1">
                  <c:v>0.39817401787132223</c:v>
                </c:pt>
                <c:pt idx="2">
                  <c:v>0.88384491473952476</c:v>
                </c:pt>
                <c:pt idx="3">
                  <c:v>0.83367369905622446</c:v>
                </c:pt>
                <c:pt idx="5">
                  <c:v>0.66718826212405991</c:v>
                </c:pt>
                <c:pt idx="6">
                  <c:v>0.68679650115947399</c:v>
                </c:pt>
                <c:pt idx="7">
                  <c:v>1.0488773016783726</c:v>
                </c:pt>
                <c:pt idx="8">
                  <c:v>0.79991185998922265</c:v>
                </c:pt>
                <c:pt idx="10">
                  <c:v>0.67697252475637737</c:v>
                </c:pt>
                <c:pt idx="11">
                  <c:v>1.1195858560984311</c:v>
                </c:pt>
                <c:pt idx="13" formatCode="0.0000">
                  <c:v>0.71818535852180221</c:v>
                </c:pt>
                <c:pt idx="14" formatCode="0.0000">
                  <c:v>0.78720737398931462</c:v>
                </c:pt>
              </c:numCache>
            </c:numRef>
          </c:val>
          <c:extLst>
            <c:ext xmlns:c16="http://schemas.microsoft.com/office/drawing/2014/chart" uri="{C3380CC4-5D6E-409C-BE32-E72D297353CC}">
              <c16:uniqueId val="{00000003-CA6B-41AD-933A-CD83CAFFD6D3}"/>
            </c:ext>
          </c:extLst>
        </c:ser>
        <c:ser>
          <c:idx val="4"/>
          <c:order val="4"/>
          <c:tx>
            <c:strRef>
              <c:f>'Table S12'!$A$10</c:f>
              <c:strCache>
                <c:ptCount val="1"/>
                <c:pt idx="0">
                  <c:v>ROW</c:v>
                </c:pt>
              </c:strCache>
            </c:strRef>
          </c:tx>
          <c:spPr>
            <a:solidFill>
              <a:schemeClr val="accent6"/>
            </a:solid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S12'!$B$10:$P$10</c:f>
              <c:numCache>
                <c:formatCode>0.000</c:formatCode>
                <c:ptCount val="15"/>
                <c:pt idx="0">
                  <c:v>1.6671872443046263</c:v>
                </c:pt>
                <c:pt idx="1">
                  <c:v>1.1593018911003266</c:v>
                </c:pt>
                <c:pt idx="2">
                  <c:v>2.3429653366108387</c:v>
                </c:pt>
                <c:pt idx="3">
                  <c:v>1.8158320021545153</c:v>
                </c:pt>
                <c:pt idx="13" formatCode="0.0000">
                  <c:v>1.7463216185425767</c:v>
                </c:pt>
                <c:pt idx="14" formatCode="0.0000">
                  <c:v>1.7463216185425767</c:v>
                </c:pt>
              </c:numCache>
            </c:numRef>
          </c:val>
          <c:extLst>
            <c:ext xmlns:c16="http://schemas.microsoft.com/office/drawing/2014/chart" uri="{C3380CC4-5D6E-409C-BE32-E72D297353CC}">
              <c16:uniqueId val="{00000004-CA6B-41AD-933A-CD83CAFFD6D3}"/>
            </c:ext>
          </c:extLst>
        </c:ser>
        <c:ser>
          <c:idx val="5"/>
          <c:order val="5"/>
          <c:tx>
            <c:strRef>
              <c:f>'Table S12'!$A$11</c:f>
              <c:strCache>
                <c:ptCount val="1"/>
                <c:pt idx="0">
                  <c:v>Extra AC</c:v>
                </c:pt>
              </c:strCache>
            </c:strRef>
          </c:tx>
          <c:spPr>
            <a:pattFill prst="dkDnDiag">
              <a:fgClr>
                <a:schemeClr val="tx1"/>
              </a:fgClr>
              <a:bgClr>
                <a:schemeClr val="bg1"/>
              </a:bgClr>
            </a:pattFill>
            <a:ln>
              <a:noFill/>
            </a:ln>
            <a:effectLst/>
          </c:spPr>
          <c:invertIfNegative val="0"/>
          <c:cat>
            <c:strRef>
              <c:f>'Table S12'!$B$5:$P$5</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S12'!$B$11:$P$11</c:f>
              <c:numCache>
                <c:formatCode>0.000</c:formatCode>
                <c:ptCount val="15"/>
                <c:pt idx="13" formatCode="0.0000">
                  <c:v>0.34459310344827598</c:v>
                </c:pt>
                <c:pt idx="14" formatCode="0.0000">
                  <c:v>0.34459310344827598</c:v>
                </c:pt>
              </c:numCache>
            </c:numRef>
          </c:val>
          <c:extLst>
            <c:ext xmlns:c16="http://schemas.microsoft.com/office/drawing/2014/chart" uri="{C3380CC4-5D6E-409C-BE32-E72D297353CC}">
              <c16:uniqueId val="{00000005-CA6B-41AD-933A-CD83CAFFD6D3}"/>
            </c:ext>
          </c:extLst>
        </c:ser>
        <c:dLbls>
          <c:showLegendKey val="0"/>
          <c:showVal val="0"/>
          <c:showCatName val="0"/>
          <c:showSerName val="0"/>
          <c:showPercent val="0"/>
          <c:showBubbleSize val="0"/>
        </c:dLbls>
        <c:gapWidth val="150"/>
        <c:overlap val="100"/>
        <c:axId val="587736672"/>
        <c:axId val="587727488"/>
      </c:barChart>
      <c:catAx>
        <c:axId val="5877366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27488"/>
        <c:crosses val="autoZero"/>
        <c:auto val="1"/>
        <c:lblAlgn val="ctr"/>
        <c:lblOffset val="100"/>
        <c:noMultiLvlLbl val="0"/>
      </c:catAx>
      <c:valAx>
        <c:axId val="58772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r>
                  <a:rPr lang="el-GR" sz="1100" b="0" i="0" baseline="0">
                    <a:effectLst/>
                  </a:rPr>
                  <a:t>Δ</a:t>
                </a:r>
                <a:r>
                  <a:rPr lang="en-GB" sz="1100" b="0" i="0" baseline="0">
                    <a:effectLst/>
                  </a:rPr>
                  <a:t>CH</a:t>
                </a:r>
                <a:r>
                  <a:rPr lang="en-GB" sz="1100" b="0" i="0" baseline="-25000">
                    <a:effectLst/>
                  </a:rPr>
                  <a:t>4</a:t>
                </a:r>
                <a:r>
                  <a:rPr lang="en-GB" sz="1100" b="0" i="0" baseline="0">
                    <a:effectLst/>
                  </a:rPr>
                  <a:t> growth rate (ppb/yr)</a:t>
                </a:r>
                <a:endParaRPr lang="en-GB" sz="110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36672"/>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'Table S12'!$A$23</c:f>
              <c:strCache>
                <c:ptCount val="1"/>
                <c:pt idx="0">
                  <c:v>EU</c:v>
                </c:pt>
              </c:strCache>
            </c:strRef>
          </c:tx>
          <c:spPr>
            <a:solidFill>
              <a:schemeClr val="accent1"/>
            </a:solidFill>
            <a:ln>
              <a:noFill/>
            </a:ln>
            <a:effectLst/>
          </c:spPr>
          <c:invertIfNegative val="0"/>
          <c:cat>
            <c:strRef>
              <c:f>'Table S12'!$B$22:$P$22</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S12'!$B$23:$P$23</c:f>
              <c:numCache>
                <c:formatCode>0.000</c:formatCode>
                <c:ptCount val="15"/>
                <c:pt idx="0">
                  <c:v>-0.14084346612028401</c:v>
                </c:pt>
                <c:pt idx="1">
                  <c:v>-0.17767203833337111</c:v>
                </c:pt>
                <c:pt idx="2">
                  <c:v>-9.7259299807587893E-2</c:v>
                </c:pt>
                <c:pt idx="3">
                  <c:v>-0.11774751862023693</c:v>
                </c:pt>
                <c:pt idx="5">
                  <c:v>-6.5832643029105284E-2</c:v>
                </c:pt>
                <c:pt idx="6">
                  <c:v>-9.9488061723686974E-2</c:v>
                </c:pt>
                <c:pt idx="7">
                  <c:v>-0.12225233737067477</c:v>
                </c:pt>
                <c:pt idx="8">
                  <c:v>-0.11328700424376571</c:v>
                </c:pt>
                <c:pt idx="9">
                  <c:v>-8.8628824183953084E-2</c:v>
                </c:pt>
                <c:pt idx="10">
                  <c:v>-8.7381784845326202E-2</c:v>
                </c:pt>
                <c:pt idx="11">
                  <c:v>-0.12393601209338849</c:v>
                </c:pt>
                <c:pt idx="13" formatCode="0.0000">
                  <c:v>-0.13338058072036998</c:v>
                </c:pt>
                <c:pt idx="14" formatCode="0.0000">
                  <c:v>-0.11221172639739824</c:v>
                </c:pt>
              </c:numCache>
            </c:numRef>
          </c:val>
          <c:extLst>
            <c:ext xmlns:c16="http://schemas.microsoft.com/office/drawing/2014/chart" uri="{C3380CC4-5D6E-409C-BE32-E72D297353CC}">
              <c16:uniqueId val="{00000000-B157-4A02-A515-349288D9B8EF}"/>
            </c:ext>
          </c:extLst>
        </c:ser>
        <c:ser>
          <c:idx val="1"/>
          <c:order val="1"/>
          <c:tx>
            <c:strRef>
              <c:f>'Table S12'!$A$24</c:f>
              <c:strCache>
                <c:ptCount val="1"/>
                <c:pt idx="0">
                  <c:v>NA</c:v>
                </c:pt>
              </c:strCache>
            </c:strRef>
          </c:tx>
          <c:spPr>
            <a:solidFill>
              <a:schemeClr val="accent2"/>
            </a:solidFill>
            <a:ln>
              <a:noFill/>
            </a:ln>
            <a:effectLst/>
          </c:spPr>
          <c:invertIfNegative val="0"/>
          <c:cat>
            <c:strRef>
              <c:f>'Table S12'!$B$22:$P$22</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S12'!$B$24:$P$24</c:f>
              <c:numCache>
                <c:formatCode>0.000</c:formatCode>
                <c:ptCount val="15"/>
                <c:pt idx="0">
                  <c:v>-0.16853734156485295</c:v>
                </c:pt>
                <c:pt idx="1">
                  <c:v>-0.20860856463427299</c:v>
                </c:pt>
                <c:pt idx="2">
                  <c:v>-0.12394124205677579</c:v>
                </c:pt>
                <c:pt idx="3">
                  <c:v>-0.13027291080488565</c:v>
                </c:pt>
                <c:pt idx="5">
                  <c:v>-5.1046835549893428E-2</c:v>
                </c:pt>
                <c:pt idx="6">
                  <c:v>-0.12273014535933799</c:v>
                </c:pt>
                <c:pt idx="7">
                  <c:v>-0.14773086863875171</c:v>
                </c:pt>
                <c:pt idx="8">
                  <c:v>-0.13812871100020399</c:v>
                </c:pt>
                <c:pt idx="9">
                  <c:v>-0.11096461828905174</c:v>
                </c:pt>
                <c:pt idx="10">
                  <c:v>-0.10916094049813801</c:v>
                </c:pt>
                <c:pt idx="11">
                  <c:v>-0.15219350323859795</c:v>
                </c:pt>
                <c:pt idx="13" formatCode="0.0000">
                  <c:v>-0.15784001476519685</c:v>
                </c:pt>
                <c:pt idx="14" formatCode="0.0000">
                  <c:v>-0.13302869833043293</c:v>
                </c:pt>
              </c:numCache>
            </c:numRef>
          </c:val>
          <c:extLst>
            <c:ext xmlns:c16="http://schemas.microsoft.com/office/drawing/2014/chart" uri="{C3380CC4-5D6E-409C-BE32-E72D297353CC}">
              <c16:uniqueId val="{00000001-B157-4A02-A515-349288D9B8EF}"/>
            </c:ext>
          </c:extLst>
        </c:ser>
        <c:ser>
          <c:idx val="2"/>
          <c:order val="2"/>
          <c:tx>
            <c:strRef>
              <c:f>'Table S12'!$A$25</c:f>
              <c:strCache>
                <c:ptCount val="1"/>
                <c:pt idx="0">
                  <c:v>SA</c:v>
                </c:pt>
              </c:strCache>
            </c:strRef>
          </c:tx>
          <c:spPr>
            <a:solidFill>
              <a:schemeClr val="accent3"/>
            </a:solidFill>
            <a:ln>
              <a:noFill/>
            </a:ln>
            <a:effectLst/>
          </c:spPr>
          <c:invertIfNegative val="0"/>
          <c:cat>
            <c:strRef>
              <c:f>'Table S12'!$B$22:$P$22</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S12'!$B$25:$P$25</c:f>
              <c:numCache>
                <c:formatCode>0.000</c:formatCode>
                <c:ptCount val="15"/>
                <c:pt idx="0">
                  <c:v>-0.3506679968718534</c:v>
                </c:pt>
                <c:pt idx="1">
                  <c:v>-0.41487783929860755</c:v>
                </c:pt>
                <c:pt idx="2">
                  <c:v>-0.26743450010638814</c:v>
                </c:pt>
                <c:pt idx="3">
                  <c:v>-0.3465674620405893</c:v>
                </c:pt>
                <c:pt idx="5">
                  <c:v>-0.25317600349917357</c:v>
                </c:pt>
                <c:pt idx="6">
                  <c:v>-0.27031314938297885</c:v>
                </c:pt>
                <c:pt idx="7">
                  <c:v>-0.30846273825149689</c:v>
                </c:pt>
                <c:pt idx="8">
                  <c:v>-0.29848839723031417</c:v>
                </c:pt>
                <c:pt idx="9">
                  <c:v>-0.24935363406902092</c:v>
                </c:pt>
                <c:pt idx="10">
                  <c:v>-0.24458758720987983</c:v>
                </c:pt>
                <c:pt idx="11">
                  <c:v>-0.30165779334903592</c:v>
                </c:pt>
                <c:pt idx="13" formatCode="0.0000">
                  <c:v>-0.34488694957935961</c:v>
                </c:pt>
                <c:pt idx="14" formatCode="0.0000">
                  <c:v>-0.300507918300849</c:v>
                </c:pt>
              </c:numCache>
            </c:numRef>
          </c:val>
          <c:extLst>
            <c:ext xmlns:c16="http://schemas.microsoft.com/office/drawing/2014/chart" uri="{C3380CC4-5D6E-409C-BE32-E72D297353CC}">
              <c16:uniqueId val="{00000002-B157-4A02-A515-349288D9B8EF}"/>
            </c:ext>
          </c:extLst>
        </c:ser>
        <c:ser>
          <c:idx val="3"/>
          <c:order val="3"/>
          <c:tx>
            <c:strRef>
              <c:f>'Table S12'!$A$26</c:f>
              <c:strCache>
                <c:ptCount val="1"/>
                <c:pt idx="0">
                  <c:v>EA</c:v>
                </c:pt>
              </c:strCache>
            </c:strRef>
          </c:tx>
          <c:spPr>
            <a:solidFill>
              <a:schemeClr val="accent4"/>
            </a:solidFill>
            <a:ln>
              <a:noFill/>
            </a:ln>
            <a:effectLst/>
          </c:spPr>
          <c:invertIfNegative val="0"/>
          <c:cat>
            <c:strRef>
              <c:f>'Table S12'!$B$22:$P$22</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S12'!$B$26:$P$26</c:f>
              <c:numCache>
                <c:formatCode>0.000</c:formatCode>
                <c:ptCount val="15"/>
                <c:pt idx="0">
                  <c:v>-0.5270168469572637</c:v>
                </c:pt>
                <c:pt idx="1">
                  <c:v>-0.62193035529028773</c:v>
                </c:pt>
                <c:pt idx="2">
                  <c:v>-0.40013748955662659</c:v>
                </c:pt>
                <c:pt idx="3">
                  <c:v>-0.50679917083043191</c:v>
                </c:pt>
                <c:pt idx="5">
                  <c:v>-0.31313092557423916</c:v>
                </c:pt>
                <c:pt idx="6">
                  <c:v>-0.3868086660571049</c:v>
                </c:pt>
                <c:pt idx="7">
                  <c:v>-0.47421188993240343</c:v>
                </c:pt>
                <c:pt idx="8">
                  <c:v>-0.44360376810605978</c:v>
                </c:pt>
                <c:pt idx="9">
                  <c:v>-0.36715094443819679</c:v>
                </c:pt>
                <c:pt idx="10">
                  <c:v>-0.34034850180296466</c:v>
                </c:pt>
                <c:pt idx="11">
                  <c:v>-0.47129464792358133</c:v>
                </c:pt>
                <c:pt idx="13" formatCode="0.0000">
                  <c:v>-0.51397096565865241</c:v>
                </c:pt>
                <c:pt idx="14" formatCode="0.0000">
                  <c:v>-0.44113029149719635</c:v>
                </c:pt>
              </c:numCache>
            </c:numRef>
          </c:val>
          <c:extLst>
            <c:ext xmlns:c16="http://schemas.microsoft.com/office/drawing/2014/chart" uri="{C3380CC4-5D6E-409C-BE32-E72D297353CC}">
              <c16:uniqueId val="{00000003-B157-4A02-A515-349288D9B8EF}"/>
            </c:ext>
          </c:extLst>
        </c:ser>
        <c:ser>
          <c:idx val="4"/>
          <c:order val="4"/>
          <c:tx>
            <c:strRef>
              <c:f>'Table S12'!$A$27</c:f>
              <c:strCache>
                <c:ptCount val="1"/>
                <c:pt idx="0">
                  <c:v>ROW</c:v>
                </c:pt>
              </c:strCache>
            </c:strRef>
          </c:tx>
          <c:spPr>
            <a:solidFill>
              <a:schemeClr val="accent6"/>
            </a:solidFill>
            <a:ln>
              <a:noFill/>
            </a:ln>
            <a:effectLst/>
          </c:spPr>
          <c:invertIfNegative val="0"/>
          <c:cat>
            <c:strRef>
              <c:f>'Table S12'!$B$22:$P$22</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S12'!$B$27:$P$27</c:f>
              <c:numCache>
                <c:formatCode>0.000</c:formatCode>
                <c:ptCount val="15"/>
                <c:pt idx="0">
                  <c:v>-0.25453887790650803</c:v>
                </c:pt>
                <c:pt idx="1">
                  <c:v>-0.36813278892131551</c:v>
                </c:pt>
                <c:pt idx="2">
                  <c:v>-0.18790455336812908</c:v>
                </c:pt>
                <c:pt idx="3">
                  <c:v>-0.25524171930738221</c:v>
                </c:pt>
                <c:pt idx="13" formatCode="0.0000">
                  <c:v>-0.26645448487583373</c:v>
                </c:pt>
                <c:pt idx="14" formatCode="0.0000">
                  <c:v>-0.26645448487583373</c:v>
                </c:pt>
              </c:numCache>
            </c:numRef>
          </c:val>
          <c:extLst>
            <c:ext xmlns:c16="http://schemas.microsoft.com/office/drawing/2014/chart" uri="{C3380CC4-5D6E-409C-BE32-E72D297353CC}">
              <c16:uniqueId val="{00000004-B157-4A02-A515-349288D9B8EF}"/>
            </c:ext>
          </c:extLst>
        </c:ser>
        <c:dLbls>
          <c:showLegendKey val="0"/>
          <c:showVal val="0"/>
          <c:showCatName val="0"/>
          <c:showSerName val="0"/>
          <c:showPercent val="0"/>
          <c:showBubbleSize val="0"/>
        </c:dLbls>
        <c:gapWidth val="150"/>
        <c:overlap val="100"/>
        <c:axId val="585511200"/>
        <c:axId val="585505952"/>
      </c:barChart>
      <c:catAx>
        <c:axId val="585511200"/>
        <c:scaling>
          <c:orientation val="minMax"/>
        </c:scaling>
        <c:delete val="0"/>
        <c:axPos val="b"/>
        <c:numFmt formatCode="General" sourceLinked="1"/>
        <c:majorTickMark val="none"/>
        <c:minorTickMark val="none"/>
        <c:tickLblPos val="high"/>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5505952"/>
        <c:crosses val="autoZero"/>
        <c:auto val="1"/>
        <c:lblAlgn val="ctr"/>
        <c:lblOffset val="100"/>
        <c:noMultiLvlLbl val="0"/>
      </c:catAx>
      <c:valAx>
        <c:axId val="585505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r>
                  <a:rPr lang="el-GR" sz="1100" b="0" i="0" baseline="0">
                    <a:effectLst/>
                  </a:rPr>
                  <a:t>Δ</a:t>
                </a:r>
                <a:r>
                  <a:rPr lang="en-GB" sz="1100" b="0" i="0" baseline="0">
                    <a:effectLst/>
                  </a:rPr>
                  <a:t>CH</a:t>
                </a:r>
                <a:r>
                  <a:rPr lang="en-GB" sz="1100" b="0" i="0" baseline="-25000">
                    <a:effectLst/>
                  </a:rPr>
                  <a:t>4</a:t>
                </a:r>
                <a:r>
                  <a:rPr lang="en-GB" sz="1100" b="0" i="0" baseline="0">
                    <a:effectLst/>
                  </a:rPr>
                  <a:t> growth rate (ppb/yr)</a:t>
                </a:r>
                <a:endParaRPr lang="en-GB" sz="110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5511200"/>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'Table S12'!$A$15</c:f>
              <c:strCache>
                <c:ptCount val="1"/>
                <c:pt idx="0">
                  <c:v>EU</c:v>
                </c:pt>
              </c:strCache>
            </c:strRef>
          </c:tx>
          <c:spPr>
            <a:solidFill>
              <a:schemeClr val="accent1"/>
            </a:solidFill>
            <a:ln>
              <a:noFill/>
            </a:ln>
            <a:effectLst/>
          </c:spPr>
          <c:invertIfNegative val="0"/>
          <c:cat>
            <c:strRef>
              <c:f>'Table S12'!$B$14:$P$14</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S12'!$B$15:$P$15</c:f>
              <c:numCache>
                <c:formatCode>0.000</c:formatCode>
                <c:ptCount val="15"/>
                <c:pt idx="0">
                  <c:v>-8.5229331061623601E-2</c:v>
                </c:pt>
                <c:pt idx="1">
                  <c:v>1.0546874246324327E-2</c:v>
                </c:pt>
                <c:pt idx="2">
                  <c:v>-4.9109082214472854E-2</c:v>
                </c:pt>
                <c:pt idx="3">
                  <c:v>-9.9917182019347989E-2</c:v>
                </c:pt>
                <c:pt idx="5">
                  <c:v>-6.7630118895621413E-2</c:v>
                </c:pt>
                <c:pt idx="6">
                  <c:v>-0.11859522703638986</c:v>
                </c:pt>
                <c:pt idx="7">
                  <c:v>-7.4777937877251219E-2</c:v>
                </c:pt>
                <c:pt idx="9">
                  <c:v>-0.14231622729593577</c:v>
                </c:pt>
                <c:pt idx="10">
                  <c:v>-2.8011309857266749E-2</c:v>
                </c:pt>
                <c:pt idx="11">
                  <c:v>-0.1086926160546985</c:v>
                </c:pt>
                <c:pt idx="13" formatCode="0.0000">
                  <c:v>-5.5927180262280031E-2</c:v>
                </c:pt>
                <c:pt idx="14" formatCode="0.0000">
                  <c:v>-7.6373215806628356E-2</c:v>
                </c:pt>
              </c:numCache>
            </c:numRef>
          </c:val>
          <c:extLst>
            <c:ext xmlns:c16="http://schemas.microsoft.com/office/drawing/2014/chart" uri="{C3380CC4-5D6E-409C-BE32-E72D297353CC}">
              <c16:uniqueId val="{00000000-24D1-46EE-9292-406A0F949CF6}"/>
            </c:ext>
          </c:extLst>
        </c:ser>
        <c:ser>
          <c:idx val="1"/>
          <c:order val="1"/>
          <c:tx>
            <c:strRef>
              <c:f>'Table S12'!$A$16</c:f>
              <c:strCache>
                <c:ptCount val="1"/>
                <c:pt idx="0">
                  <c:v>NA</c:v>
                </c:pt>
              </c:strCache>
            </c:strRef>
          </c:tx>
          <c:spPr>
            <a:solidFill>
              <a:schemeClr val="accent2"/>
            </a:solidFill>
            <a:ln>
              <a:noFill/>
            </a:ln>
            <a:effectLst/>
          </c:spPr>
          <c:invertIfNegative val="0"/>
          <c:cat>
            <c:strRef>
              <c:f>'Table S12'!$B$14:$P$14</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S12'!$B$16:$P$16</c:f>
              <c:numCache>
                <c:formatCode>0.000</c:formatCode>
                <c:ptCount val="15"/>
                <c:pt idx="0">
                  <c:v>-6.7432776467880109E-2</c:v>
                </c:pt>
                <c:pt idx="1">
                  <c:v>1.2751663641719544E-2</c:v>
                </c:pt>
                <c:pt idx="2">
                  <c:v>-2.3990247865384322E-2</c:v>
                </c:pt>
                <c:pt idx="3">
                  <c:v>-4.510670773235937E-2</c:v>
                </c:pt>
                <c:pt idx="5">
                  <c:v>-4.125719673330179E-2</c:v>
                </c:pt>
                <c:pt idx="6">
                  <c:v>-0.10975323959154509</c:v>
                </c:pt>
                <c:pt idx="7">
                  <c:v>-8.5232526631902436E-2</c:v>
                </c:pt>
                <c:pt idx="9">
                  <c:v>-0.1142736182021426</c:v>
                </c:pt>
                <c:pt idx="10">
                  <c:v>-2.1232845335368591E-2</c:v>
                </c:pt>
                <c:pt idx="11">
                  <c:v>-9.6714433974017897E-2</c:v>
                </c:pt>
                <c:pt idx="13" formatCode="0.0000">
                  <c:v>-3.0944517105976066E-2</c:v>
                </c:pt>
                <c:pt idx="14" formatCode="0.0000">
                  <c:v>-5.9224192889218263E-2</c:v>
                </c:pt>
              </c:numCache>
            </c:numRef>
          </c:val>
          <c:extLst>
            <c:ext xmlns:c16="http://schemas.microsoft.com/office/drawing/2014/chart" uri="{C3380CC4-5D6E-409C-BE32-E72D297353CC}">
              <c16:uniqueId val="{00000001-24D1-46EE-9292-406A0F949CF6}"/>
            </c:ext>
          </c:extLst>
        </c:ser>
        <c:ser>
          <c:idx val="2"/>
          <c:order val="2"/>
          <c:tx>
            <c:strRef>
              <c:f>'Table S12'!$A$17</c:f>
              <c:strCache>
                <c:ptCount val="1"/>
                <c:pt idx="0">
                  <c:v>SA</c:v>
                </c:pt>
              </c:strCache>
            </c:strRef>
          </c:tx>
          <c:spPr>
            <a:solidFill>
              <a:schemeClr val="accent3"/>
            </a:solidFill>
            <a:ln>
              <a:noFill/>
            </a:ln>
            <a:effectLst/>
          </c:spPr>
          <c:invertIfNegative val="0"/>
          <c:cat>
            <c:strRef>
              <c:f>'Table S12'!$B$14:$P$14</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S12'!$B$17:$P$17</c:f>
              <c:numCache>
                <c:formatCode>0.000</c:formatCode>
                <c:ptCount val="15"/>
                <c:pt idx="0">
                  <c:v>-0.26313099020639691</c:v>
                </c:pt>
                <c:pt idx="1">
                  <c:v>-2.4328498929317814E-2</c:v>
                </c:pt>
                <c:pt idx="2">
                  <c:v>-0.13427406602237213</c:v>
                </c:pt>
                <c:pt idx="3">
                  <c:v>-0.27818170410382947</c:v>
                </c:pt>
                <c:pt idx="5">
                  <c:v>-0.18352332677687697</c:v>
                </c:pt>
                <c:pt idx="6">
                  <c:v>-0.28292785441003132</c:v>
                </c:pt>
                <c:pt idx="7">
                  <c:v>-0.17749895431092669</c:v>
                </c:pt>
                <c:pt idx="9">
                  <c:v>-0.28901751830817651</c:v>
                </c:pt>
                <c:pt idx="10">
                  <c:v>-0.13470258701444621</c:v>
                </c:pt>
                <c:pt idx="11">
                  <c:v>-0.24976817696050993</c:v>
                </c:pt>
                <c:pt idx="13" formatCode="0.0000">
                  <c:v>-0.17497881481547908</c:v>
                </c:pt>
                <c:pt idx="14" formatCode="0.0000">
                  <c:v>-0.2017353677042884</c:v>
                </c:pt>
              </c:numCache>
            </c:numRef>
          </c:val>
          <c:extLst>
            <c:ext xmlns:c16="http://schemas.microsoft.com/office/drawing/2014/chart" uri="{C3380CC4-5D6E-409C-BE32-E72D297353CC}">
              <c16:uniqueId val="{00000002-24D1-46EE-9292-406A0F949CF6}"/>
            </c:ext>
          </c:extLst>
        </c:ser>
        <c:ser>
          <c:idx val="3"/>
          <c:order val="3"/>
          <c:tx>
            <c:strRef>
              <c:f>'Table S12'!$A$18</c:f>
              <c:strCache>
                <c:ptCount val="1"/>
                <c:pt idx="0">
                  <c:v>EA</c:v>
                </c:pt>
              </c:strCache>
            </c:strRef>
          </c:tx>
          <c:spPr>
            <a:solidFill>
              <a:schemeClr val="accent4"/>
            </a:solidFill>
            <a:ln>
              <a:noFill/>
            </a:ln>
            <a:effectLst/>
          </c:spPr>
          <c:invertIfNegative val="0"/>
          <c:cat>
            <c:strRef>
              <c:f>'Table S12'!$B$14:$P$14</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S12'!$B$18:$P$18</c:f>
              <c:numCache>
                <c:formatCode>0.000</c:formatCode>
                <c:ptCount val="15"/>
                <c:pt idx="0">
                  <c:v>-9.7328042076596122E-2</c:v>
                </c:pt>
                <c:pt idx="1">
                  <c:v>2.8761203598506424E-2</c:v>
                </c:pt>
                <c:pt idx="2">
                  <c:v>-2.6133881247343605E-2</c:v>
                </c:pt>
                <c:pt idx="3">
                  <c:v>-0.10570628755925385</c:v>
                </c:pt>
                <c:pt idx="5">
                  <c:v>-7.226934577214672E-2</c:v>
                </c:pt>
                <c:pt idx="6">
                  <c:v>-0.12746485653520517</c:v>
                </c:pt>
                <c:pt idx="7">
                  <c:v>-8.3514376542414726E-2</c:v>
                </c:pt>
                <c:pt idx="9">
                  <c:v>-6.3357691737033997E-2</c:v>
                </c:pt>
                <c:pt idx="10">
                  <c:v>-3.1092405786869615E-2</c:v>
                </c:pt>
                <c:pt idx="11">
                  <c:v>-0.12377219865191058</c:v>
                </c:pt>
                <c:pt idx="13" formatCode="0.0000">
                  <c:v>-5.0101751821171783E-2</c:v>
                </c:pt>
                <c:pt idx="14" formatCode="0.0000">
                  <c:v>-7.0187788231026796E-2</c:v>
                </c:pt>
              </c:numCache>
            </c:numRef>
          </c:val>
          <c:extLst>
            <c:ext xmlns:c16="http://schemas.microsoft.com/office/drawing/2014/chart" uri="{C3380CC4-5D6E-409C-BE32-E72D297353CC}">
              <c16:uniqueId val="{00000003-24D1-46EE-9292-406A0F949CF6}"/>
            </c:ext>
          </c:extLst>
        </c:ser>
        <c:ser>
          <c:idx val="4"/>
          <c:order val="4"/>
          <c:tx>
            <c:strRef>
              <c:f>'Table S12'!$A$19</c:f>
              <c:strCache>
                <c:ptCount val="1"/>
                <c:pt idx="0">
                  <c:v>ROW</c:v>
                </c:pt>
              </c:strCache>
            </c:strRef>
          </c:tx>
          <c:spPr>
            <a:solidFill>
              <a:schemeClr val="accent6"/>
            </a:solidFill>
            <a:ln>
              <a:noFill/>
            </a:ln>
            <a:effectLst/>
          </c:spPr>
          <c:invertIfNegative val="0"/>
          <c:cat>
            <c:strRef>
              <c:f>'Table S12'!$B$14:$P$14</c:f>
              <c:strCache>
                <c:ptCount val="15"/>
                <c:pt idx="0">
                  <c:v>FRSGCUCI-v01</c:v>
                </c:pt>
                <c:pt idx="1">
                  <c:v>GISS-PUCCINI-modelE</c:v>
                </c:pt>
                <c:pt idx="2">
                  <c:v>MOZARTGFDL-v2</c:v>
                </c:pt>
                <c:pt idx="3">
                  <c:v>TM5-JRC-cy2-ipcc-v1</c:v>
                </c:pt>
                <c:pt idx="5">
                  <c:v>MOZECH-v16</c:v>
                </c:pt>
                <c:pt idx="6">
                  <c:v>CAMCHEM-3311m13</c:v>
                </c:pt>
                <c:pt idx="7">
                  <c:v>GMI-v02f</c:v>
                </c:pt>
                <c:pt idx="8">
                  <c:v>INCA-vSSz</c:v>
                </c:pt>
                <c:pt idx="9">
                  <c:v>LLNL-IMPACT-T5a</c:v>
                </c:pt>
                <c:pt idx="10">
                  <c:v>STOC-HadAM3-v01</c:v>
                </c:pt>
                <c:pt idx="11">
                  <c:v>UM-CAM-v01</c:v>
                </c:pt>
                <c:pt idx="13">
                  <c:v>4MM</c:v>
                </c:pt>
                <c:pt idx="14">
                  <c:v>MMM</c:v>
                </c:pt>
              </c:strCache>
            </c:strRef>
          </c:cat>
          <c:val>
            <c:numRef>
              <c:f>'Table S12'!$B$19:$P$19</c:f>
              <c:numCache>
                <c:formatCode>0.000</c:formatCode>
                <c:ptCount val="15"/>
                <c:pt idx="0">
                  <c:v>-0.14079906078279886</c:v>
                </c:pt>
                <c:pt idx="1">
                  <c:v>-2.9214759019925499E-2</c:v>
                </c:pt>
                <c:pt idx="2">
                  <c:v>-0.11792878718394814</c:v>
                </c:pt>
                <c:pt idx="3">
                  <c:v>-0.37826429649764365</c:v>
                </c:pt>
                <c:pt idx="13" formatCode="0.0000">
                  <c:v>-0.16655172587107903</c:v>
                </c:pt>
                <c:pt idx="14" formatCode="0.0000">
                  <c:v>-0.16655172587107903</c:v>
                </c:pt>
              </c:numCache>
            </c:numRef>
          </c:val>
          <c:extLst>
            <c:ext xmlns:c16="http://schemas.microsoft.com/office/drawing/2014/chart" uri="{C3380CC4-5D6E-409C-BE32-E72D297353CC}">
              <c16:uniqueId val="{00000004-24D1-46EE-9292-406A0F949CF6}"/>
            </c:ext>
          </c:extLst>
        </c:ser>
        <c:dLbls>
          <c:showLegendKey val="0"/>
          <c:showVal val="0"/>
          <c:showCatName val="0"/>
          <c:showSerName val="0"/>
          <c:showPercent val="0"/>
          <c:showBubbleSize val="0"/>
        </c:dLbls>
        <c:gapWidth val="150"/>
        <c:overlap val="100"/>
        <c:axId val="402321920"/>
        <c:axId val="402322248"/>
      </c:barChart>
      <c:catAx>
        <c:axId val="402321920"/>
        <c:scaling>
          <c:orientation val="minMax"/>
        </c:scaling>
        <c:delete val="0"/>
        <c:axPos val="b"/>
        <c:numFmt formatCode="General" sourceLinked="1"/>
        <c:majorTickMark val="none"/>
        <c:minorTickMark val="none"/>
        <c:tickLblPos val="high"/>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2322248"/>
        <c:crosses val="autoZero"/>
        <c:auto val="1"/>
        <c:lblAlgn val="ctr"/>
        <c:lblOffset val="100"/>
        <c:noMultiLvlLbl val="0"/>
      </c:catAx>
      <c:valAx>
        <c:axId val="402322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r>
                  <a:rPr lang="el-GR" sz="1100" b="0" i="0" baseline="0">
                    <a:effectLst/>
                  </a:rPr>
                  <a:t>Δ</a:t>
                </a:r>
                <a:r>
                  <a:rPr lang="en-GB" sz="1100" b="0" i="0" baseline="0">
                    <a:effectLst/>
                  </a:rPr>
                  <a:t>CH</a:t>
                </a:r>
                <a:r>
                  <a:rPr lang="en-GB" sz="1100" b="0" i="0" baseline="-25000">
                    <a:effectLst/>
                  </a:rPr>
                  <a:t>4</a:t>
                </a:r>
                <a:r>
                  <a:rPr lang="en-GB" sz="1100" b="0" i="0" baseline="0">
                    <a:effectLst/>
                  </a:rPr>
                  <a:t> growth rate (ppb/yr)</a:t>
                </a:r>
                <a:endParaRPr lang="en-GB" sz="1100">
                  <a:effectLst/>
                </a:endParaRPr>
              </a:p>
            </c:rich>
          </c:tx>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baseline="0">
                  <a:solidFill>
                    <a:sysClr val="windowText" lastClr="000000">
                      <a:lumMod val="65000"/>
                      <a:lumOff val="35000"/>
                    </a:sysClr>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2321920"/>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114300</xdr:colOff>
      <xdr:row>4</xdr:row>
      <xdr:rowOff>11430</xdr:rowOff>
    </xdr:from>
    <xdr:to>
      <xdr:col>9</xdr:col>
      <xdr:colOff>419100</xdr:colOff>
      <xdr:row>19</xdr:row>
      <xdr:rowOff>11430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525780</xdr:colOff>
      <xdr:row>26</xdr:row>
      <xdr:rowOff>167640</xdr:rowOff>
    </xdr:from>
    <xdr:to>
      <xdr:col>17</xdr:col>
      <xdr:colOff>579120</xdr:colOff>
      <xdr:row>43</xdr:row>
      <xdr:rowOff>44160</xdr:rowOff>
    </xdr:to>
    <xdr:pic>
      <xdr:nvPicPr>
        <xdr:cNvPr id="3" name="Main graphic"/>
        <xdr:cNvPicPr/>
      </xdr:nvPicPr>
      <xdr:blipFill rotWithShape="1">
        <a:blip xmlns:r="http://schemas.openxmlformats.org/officeDocument/2006/relationships" r:embed="rId1"/>
        <a:srcRect r="22360"/>
        <a:stretch/>
      </xdr:blipFill>
      <xdr:spPr>
        <a:xfrm>
          <a:off x="5402580" y="4373880"/>
          <a:ext cx="4930140" cy="2985480"/>
        </a:xfrm>
        <a:prstGeom prst="rect">
          <a:avLst/>
        </a:prstGeom>
        <a:ln>
          <a:noFill/>
        </a:ln>
      </xdr:spPr>
    </xdr:pic>
    <xdr:clientData/>
  </xdr:twoCellAnchor>
  <xdr:twoCellAnchor>
    <xdr:from>
      <xdr:col>0</xdr:col>
      <xdr:colOff>304800</xdr:colOff>
      <xdr:row>26</xdr:row>
      <xdr:rowOff>140970</xdr:rowOff>
    </xdr:from>
    <xdr:to>
      <xdr:col>9</xdr:col>
      <xdr:colOff>160020</xdr:colOff>
      <xdr:row>43</xdr:row>
      <xdr:rowOff>129540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xdr:colOff>
      <xdr:row>1</xdr:row>
      <xdr:rowOff>30480</xdr:rowOff>
    </xdr:from>
    <xdr:to>
      <xdr:col>10</xdr:col>
      <xdr:colOff>601980</xdr:colOff>
      <xdr:row>19</xdr:row>
      <xdr:rowOff>167640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0</xdr:colOff>
      <xdr:row>19</xdr:row>
      <xdr:rowOff>167640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30480</xdr:colOff>
      <xdr:row>1</xdr:row>
      <xdr:rowOff>30480</xdr:rowOff>
    </xdr:from>
    <xdr:to>
      <xdr:col>10</xdr:col>
      <xdr:colOff>594360</xdr:colOff>
      <xdr:row>19</xdr:row>
      <xdr:rowOff>167640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579120</xdr:colOff>
      <xdr:row>19</xdr:row>
      <xdr:rowOff>175260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0</xdr:colOff>
      <xdr:row>19</xdr:row>
      <xdr:rowOff>175260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601980</xdr:colOff>
      <xdr:row>20</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4.4" x14ac:dyDescent="0.3"/>
  <sheetData>
    <row r="1" spans="1:16" x14ac:dyDescent="0.3">
      <c r="A1" s="3" t="s">
        <v>127</v>
      </c>
    </row>
    <row r="2" spans="1:16" x14ac:dyDescent="0.3">
      <c r="A2" s="3"/>
    </row>
    <row r="3" spans="1:16"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6" x14ac:dyDescent="0.3">
      <c r="A4" s="3" t="s">
        <v>11</v>
      </c>
      <c r="B4" s="1">
        <v>571.72</v>
      </c>
      <c r="C4" s="1">
        <v>457.73</v>
      </c>
      <c r="D4" s="1">
        <v>476.8</v>
      </c>
      <c r="E4" s="1">
        <v>545.78</v>
      </c>
      <c r="F4" s="1"/>
      <c r="G4" s="1">
        <v>445.1</v>
      </c>
      <c r="H4" s="1">
        <v>420</v>
      </c>
      <c r="I4" s="1">
        <v>478.29</v>
      </c>
      <c r="J4" s="1">
        <v>508.21</v>
      </c>
      <c r="K4" s="1">
        <v>800.32</v>
      </c>
      <c r="L4" s="1">
        <v>508.65</v>
      </c>
      <c r="M4" s="1">
        <v>399.01</v>
      </c>
    </row>
    <row r="5" spans="1:16" x14ac:dyDescent="0.3">
      <c r="A5" s="3" t="s">
        <v>12</v>
      </c>
      <c r="B5" s="1">
        <v>571.36681299999998</v>
      </c>
      <c r="C5" s="1">
        <v>457.21558499999998</v>
      </c>
      <c r="D5" s="1">
        <v>476.28554800000001</v>
      </c>
      <c r="E5" s="1">
        <v>544.77846599999998</v>
      </c>
      <c r="F5" s="1"/>
      <c r="G5" s="1"/>
      <c r="H5" s="1"/>
      <c r="I5" s="1"/>
      <c r="J5" s="1"/>
      <c r="K5" s="1"/>
      <c r="L5" s="1"/>
      <c r="M5" s="1"/>
    </row>
    <row r="6" spans="1:16" x14ac:dyDescent="0.3">
      <c r="A6" s="3" t="s">
        <v>13</v>
      </c>
      <c r="B6" s="1">
        <v>493.2</v>
      </c>
      <c r="C6" s="1">
        <v>392.06</v>
      </c>
      <c r="D6" s="1">
        <v>405.44</v>
      </c>
      <c r="E6" s="1">
        <v>471.65</v>
      </c>
      <c r="F6" s="1"/>
      <c r="G6" s="1">
        <v>377.69</v>
      </c>
      <c r="H6" s="1">
        <v>357.03</v>
      </c>
      <c r="I6" s="1">
        <v>406.99</v>
      </c>
      <c r="J6" s="1">
        <v>431.92</v>
      </c>
      <c r="K6" s="1">
        <v>686.66</v>
      </c>
      <c r="L6" s="1">
        <v>431.67</v>
      </c>
      <c r="M6" s="1">
        <v>336.17</v>
      </c>
    </row>
    <row r="7" spans="1:16" x14ac:dyDescent="0.3">
      <c r="A7" s="3" t="s">
        <v>14</v>
      </c>
      <c r="B7" s="1">
        <v>570.13</v>
      </c>
      <c r="C7" s="1">
        <v>456.87</v>
      </c>
      <c r="D7" s="1">
        <v>475.2</v>
      </c>
      <c r="E7" s="1">
        <v>544.05999999999995</v>
      </c>
      <c r="F7" s="1"/>
      <c r="G7" s="1">
        <v>443.89</v>
      </c>
      <c r="H7" s="1">
        <v>418.26</v>
      </c>
      <c r="I7" s="1">
        <v>476.47</v>
      </c>
      <c r="J7" s="1">
        <v>506.71</v>
      </c>
      <c r="K7" s="1"/>
      <c r="L7" s="1">
        <v>507.05</v>
      </c>
      <c r="M7" s="1">
        <v>397.14</v>
      </c>
    </row>
    <row r="8" spans="1:16" x14ac:dyDescent="0.3">
      <c r="A8" s="3" t="s">
        <v>15</v>
      </c>
      <c r="B8" s="1">
        <v>569.35</v>
      </c>
      <c r="C8" s="1">
        <v>456.24</v>
      </c>
      <c r="D8" s="1">
        <v>474.05</v>
      </c>
      <c r="E8" s="1">
        <v>543.37</v>
      </c>
      <c r="F8" s="1"/>
      <c r="G8" s="1">
        <v>442.85</v>
      </c>
      <c r="H8" s="1">
        <v>417.27</v>
      </c>
      <c r="I8" s="1">
        <v>474.71</v>
      </c>
      <c r="J8" s="1">
        <v>505.77</v>
      </c>
      <c r="K8" s="1"/>
      <c r="L8" s="1">
        <v>506.3</v>
      </c>
      <c r="M8" s="1">
        <v>395.63</v>
      </c>
    </row>
    <row r="9" spans="1:16" x14ac:dyDescent="0.3">
      <c r="A9" s="3" t="s">
        <v>16</v>
      </c>
      <c r="B9" s="1">
        <v>570.25</v>
      </c>
      <c r="C9" s="1">
        <v>456.62</v>
      </c>
      <c r="D9" s="1">
        <v>475.36</v>
      </c>
      <c r="E9" s="1">
        <v>544.25</v>
      </c>
      <c r="F9" s="1"/>
      <c r="G9" s="1">
        <v>444.1</v>
      </c>
      <c r="H9" s="1">
        <v>418.76</v>
      </c>
      <c r="I9" s="1">
        <v>476.45</v>
      </c>
      <c r="J9" s="1">
        <v>506.95</v>
      </c>
      <c r="K9" s="1"/>
      <c r="L9" s="1">
        <v>507.27</v>
      </c>
      <c r="M9" s="1">
        <v>396.52</v>
      </c>
    </row>
    <row r="10" spans="1:16" x14ac:dyDescent="0.3">
      <c r="A10" s="3" t="s">
        <v>17</v>
      </c>
      <c r="B10" s="1">
        <v>569.9</v>
      </c>
      <c r="C10" s="1">
        <v>456.12</v>
      </c>
      <c r="D10" s="1">
        <v>474.99</v>
      </c>
      <c r="E10" s="1">
        <v>543.79999999999995</v>
      </c>
      <c r="F10" s="1"/>
      <c r="G10" s="1">
        <v>443.53</v>
      </c>
      <c r="H10" s="1">
        <v>418.21</v>
      </c>
      <c r="I10" s="1">
        <v>475.83</v>
      </c>
      <c r="J10" s="1">
        <v>506.28</v>
      </c>
      <c r="K10" s="1"/>
      <c r="L10" s="1">
        <v>507.07</v>
      </c>
      <c r="M10" s="1">
        <v>396.29</v>
      </c>
    </row>
    <row r="11" spans="1:16" x14ac:dyDescent="0.3">
      <c r="A11" s="3" t="s">
        <v>18</v>
      </c>
      <c r="B11" s="1">
        <v>558.21051</v>
      </c>
      <c r="C11" s="1">
        <v>443.25151199999999</v>
      </c>
      <c r="D11" s="1">
        <v>461.31503199999997</v>
      </c>
      <c r="E11" s="1">
        <v>531.093119</v>
      </c>
      <c r="F11" s="1"/>
      <c r="G11" s="1"/>
      <c r="H11" s="1"/>
      <c r="I11" s="1"/>
      <c r="J11" s="1"/>
      <c r="K11" s="1"/>
      <c r="L11" s="1"/>
      <c r="M11" s="1"/>
    </row>
    <row r="12" spans="1:16" x14ac:dyDescent="0.3">
      <c r="A12" s="3" t="s">
        <v>19</v>
      </c>
      <c r="B12" s="1">
        <v>572.35</v>
      </c>
      <c r="C12" s="1">
        <v>457.65</v>
      </c>
      <c r="D12" s="1">
        <v>476.98</v>
      </c>
      <c r="E12" s="1">
        <v>546.62</v>
      </c>
      <c r="F12" s="1"/>
      <c r="G12" s="1">
        <v>445.5</v>
      </c>
      <c r="H12" s="1">
        <v>421.6</v>
      </c>
      <c r="I12" s="1">
        <v>478.45</v>
      </c>
      <c r="J12" s="1">
        <v>508.41</v>
      </c>
      <c r="K12" s="1">
        <v>800.57</v>
      </c>
      <c r="L12" s="1">
        <v>508.85</v>
      </c>
      <c r="M12" s="1">
        <v>399.75</v>
      </c>
    </row>
    <row r="13" spans="1:16" x14ac:dyDescent="0.3">
      <c r="A13" s="3" t="s">
        <v>20</v>
      </c>
      <c r="B13" s="1">
        <v>572.12</v>
      </c>
      <c r="C13" s="1">
        <v>457.65</v>
      </c>
      <c r="D13" s="1">
        <v>476.86</v>
      </c>
      <c r="E13" s="1">
        <v>546.08000000000004</v>
      </c>
      <c r="F13" s="1"/>
      <c r="G13" s="1">
        <v>445.43</v>
      </c>
      <c r="H13" s="1">
        <v>421.01</v>
      </c>
      <c r="I13" s="1">
        <v>478.69</v>
      </c>
      <c r="J13" s="1">
        <v>508.43</v>
      </c>
      <c r="K13" s="1">
        <v>800.43</v>
      </c>
      <c r="L13" s="1">
        <v>508.77</v>
      </c>
      <c r="M13" s="1">
        <v>399.53</v>
      </c>
    </row>
    <row r="14" spans="1:16" x14ac:dyDescent="0.3">
      <c r="A14" s="3" t="s">
        <v>21</v>
      </c>
      <c r="B14" s="1">
        <v>572.13</v>
      </c>
      <c r="C14" s="1">
        <v>457.77</v>
      </c>
      <c r="D14" s="1">
        <v>476.95</v>
      </c>
      <c r="E14" s="1">
        <v>546.30999999999995</v>
      </c>
      <c r="F14" s="1"/>
      <c r="G14" s="1">
        <v>445.3</v>
      </c>
      <c r="H14" s="1">
        <v>420.4</v>
      </c>
      <c r="I14" s="1">
        <v>478.5</v>
      </c>
      <c r="J14" s="1">
        <v>508.4</v>
      </c>
      <c r="K14" s="1">
        <v>800.42</v>
      </c>
      <c r="L14" s="1">
        <v>508.85</v>
      </c>
      <c r="M14" s="1">
        <v>399.36</v>
      </c>
    </row>
    <row r="15" spans="1:16" x14ac:dyDescent="0.3">
      <c r="A15" s="3" t="s">
        <v>22</v>
      </c>
      <c r="B15" s="1">
        <v>572.17999999999995</v>
      </c>
      <c r="C15" s="1">
        <v>457.59</v>
      </c>
      <c r="D15" s="1">
        <v>476.85</v>
      </c>
      <c r="E15" s="1">
        <v>546.4</v>
      </c>
      <c r="F15" s="1"/>
      <c r="G15" s="1">
        <v>445.35</v>
      </c>
      <c r="H15" s="1">
        <v>420.54</v>
      </c>
      <c r="I15" s="1">
        <v>478.56</v>
      </c>
      <c r="J15" s="1">
        <v>508.27</v>
      </c>
      <c r="K15" s="1">
        <v>800.35</v>
      </c>
      <c r="L15" s="1">
        <v>508.79</v>
      </c>
      <c r="M15" s="1">
        <v>399.55</v>
      </c>
    </row>
    <row r="16" spans="1:16" x14ac:dyDescent="0.3">
      <c r="A16" s="3" t="s">
        <v>23</v>
      </c>
      <c r="B16" s="1">
        <v>574.28238099999999</v>
      </c>
      <c r="C16" s="1">
        <v>457.20307100000002</v>
      </c>
      <c r="D16" s="1">
        <v>477.02547700000002</v>
      </c>
      <c r="E16" s="1">
        <v>549.34894999999995</v>
      </c>
      <c r="F16" s="1"/>
      <c r="G16" s="1"/>
      <c r="H16" s="1"/>
      <c r="I16" s="1"/>
      <c r="J16" s="1"/>
      <c r="K16" s="1"/>
      <c r="L16" s="1"/>
      <c r="M16" s="1"/>
    </row>
    <row r="17" spans="1:13" x14ac:dyDescent="0.3">
      <c r="A17" s="3" t="s">
        <v>24</v>
      </c>
      <c r="B17" s="1">
        <v>572.64</v>
      </c>
      <c r="C17" s="1">
        <v>458.92</v>
      </c>
      <c r="D17" s="1">
        <v>477.85</v>
      </c>
      <c r="E17" s="1">
        <v>546.54</v>
      </c>
      <c r="F17" s="1"/>
      <c r="G17" s="1">
        <v>445.49</v>
      </c>
      <c r="H17" s="1">
        <v>420.82</v>
      </c>
      <c r="I17" s="1">
        <v>479.37</v>
      </c>
      <c r="J17" s="1">
        <v>508.91</v>
      </c>
      <c r="K17" s="1">
        <v>801.16</v>
      </c>
      <c r="L17" s="1">
        <v>509.21</v>
      </c>
      <c r="M17" s="1">
        <v>399.84</v>
      </c>
    </row>
    <row r="18" spans="1:13" x14ac:dyDescent="0.3">
      <c r="A18" s="3" t="s">
        <v>25</v>
      </c>
      <c r="B18" s="1">
        <v>572.99</v>
      </c>
      <c r="C18" s="1">
        <v>459.56</v>
      </c>
      <c r="D18" s="1">
        <v>477.78</v>
      </c>
      <c r="E18" s="1">
        <v>546.76</v>
      </c>
      <c r="F18" s="1"/>
      <c r="G18" s="1">
        <v>445.37</v>
      </c>
      <c r="H18" s="1">
        <v>421.23</v>
      </c>
      <c r="I18" s="1">
        <v>479.62</v>
      </c>
      <c r="J18" s="1">
        <v>508.96</v>
      </c>
      <c r="K18" s="1">
        <v>801.3</v>
      </c>
      <c r="L18" s="1">
        <v>509.45</v>
      </c>
      <c r="M18" s="1">
        <v>400.2</v>
      </c>
    </row>
    <row r="19" spans="1:13" x14ac:dyDescent="0.3">
      <c r="A19" s="3" t="s">
        <v>26</v>
      </c>
      <c r="B19" s="1">
        <v>572.49</v>
      </c>
      <c r="C19" s="1">
        <v>458.71</v>
      </c>
      <c r="D19" s="1">
        <v>477.48</v>
      </c>
      <c r="E19" s="1">
        <v>546.52</v>
      </c>
      <c r="F19" s="1"/>
      <c r="G19" s="1">
        <v>445.86</v>
      </c>
      <c r="H19" s="1">
        <v>421.01</v>
      </c>
      <c r="I19" s="1">
        <v>479.28</v>
      </c>
      <c r="J19" s="1">
        <v>509.14</v>
      </c>
      <c r="K19" s="1">
        <v>801.34</v>
      </c>
      <c r="L19" s="1">
        <v>509.17</v>
      </c>
      <c r="M19" s="1">
        <v>399.68</v>
      </c>
    </row>
    <row r="20" spans="1:13" x14ac:dyDescent="0.3">
      <c r="A20" s="3" t="s">
        <v>27</v>
      </c>
      <c r="B20" s="1">
        <v>572.92999999999995</v>
      </c>
      <c r="C20" s="1">
        <v>460.28</v>
      </c>
      <c r="D20" s="1">
        <v>477.88</v>
      </c>
      <c r="E20" s="1">
        <v>546.92999999999995</v>
      </c>
      <c r="F20" s="1"/>
      <c r="G20" s="1">
        <v>445.99</v>
      </c>
      <c r="H20" s="1">
        <v>421.76</v>
      </c>
      <c r="I20" s="1">
        <v>480.37</v>
      </c>
      <c r="J20" s="1">
        <v>509.46</v>
      </c>
      <c r="K20" s="1">
        <v>801.56</v>
      </c>
      <c r="L20" s="1">
        <v>509.41</v>
      </c>
      <c r="M20" s="1">
        <v>400.11</v>
      </c>
    </row>
    <row r="21" spans="1:13" x14ac:dyDescent="0.3">
      <c r="A21" s="3" t="s">
        <v>28</v>
      </c>
      <c r="B21" s="1">
        <v>577.61359100000004</v>
      </c>
      <c r="C21" s="1">
        <v>473.31997899999999</v>
      </c>
      <c r="D21" s="1">
        <v>481.76512300000002</v>
      </c>
      <c r="E21" s="1">
        <v>550.45383800000002</v>
      </c>
      <c r="F21" s="1"/>
      <c r="G21" s="1"/>
      <c r="H21" s="1"/>
      <c r="I21" s="1"/>
      <c r="J21" s="1"/>
      <c r="K21" s="1"/>
      <c r="L21" s="1"/>
      <c r="M21" s="1"/>
    </row>
    <row r="22" spans="1:13" x14ac:dyDescent="0.3">
      <c r="A22" t="s">
        <v>30</v>
      </c>
    </row>
    <row r="23" spans="1:13" x14ac:dyDescent="0.3">
      <c r="A23" s="3" t="s">
        <v>29</v>
      </c>
    </row>
    <row r="24" spans="1:13" x14ac:dyDescent="0.3">
      <c r="A24" t="s">
        <v>31</v>
      </c>
    </row>
    <row r="25" spans="1:13" x14ac:dyDescent="0.3">
      <c r="A25" t="s">
        <v>47</v>
      </c>
    </row>
    <row r="26" spans="1:13" x14ac:dyDescent="0.3">
      <c r="A26" t="s">
        <v>45</v>
      </c>
    </row>
    <row r="27" spans="1:13" x14ac:dyDescent="0.3">
      <c r="A27" t="s">
        <v>46</v>
      </c>
    </row>
    <row r="28" spans="1:13" x14ac:dyDescent="0.3">
      <c r="A28" t="s">
        <v>32</v>
      </c>
    </row>
    <row r="29" spans="1:13" x14ac:dyDescent="0.3">
      <c r="A29" t="s">
        <v>48</v>
      </c>
    </row>
    <row r="30" spans="1:13" x14ac:dyDescent="0.3">
      <c r="A30" t="s">
        <v>49</v>
      </c>
    </row>
    <row r="31" spans="1:13" x14ac:dyDescent="0.3">
      <c r="A31" t="s">
        <v>133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heetViews>
  <sheetFormatPr defaultRowHeight="14.4" x14ac:dyDescent="0.3"/>
  <cols>
    <col min="1" max="1" width="8.88671875" style="6"/>
    <col min="15" max="16" width="8.88671875" style="4"/>
  </cols>
  <sheetData>
    <row r="1" spans="1:16" x14ac:dyDescent="0.3">
      <c r="A1" s="6" t="s">
        <v>150</v>
      </c>
    </row>
    <row r="3" spans="1:16" ht="43.2" x14ac:dyDescent="0.3">
      <c r="A3" s="20" t="s">
        <v>83</v>
      </c>
      <c r="B3" s="61" t="s">
        <v>0</v>
      </c>
      <c r="C3" s="61" t="s">
        <v>1</v>
      </c>
      <c r="D3" s="61" t="s">
        <v>2</v>
      </c>
      <c r="E3" s="61" t="s">
        <v>3</v>
      </c>
      <c r="F3" s="61"/>
      <c r="G3" s="61" t="s">
        <v>4</v>
      </c>
      <c r="H3" s="61" t="s">
        <v>5</v>
      </c>
      <c r="I3" s="61" t="s">
        <v>6</v>
      </c>
      <c r="J3" s="61" t="s">
        <v>7</v>
      </c>
      <c r="K3" s="61" t="s">
        <v>8</v>
      </c>
      <c r="L3" s="61" t="s">
        <v>9</v>
      </c>
      <c r="M3" s="61" t="s">
        <v>10</v>
      </c>
      <c r="N3" s="61"/>
      <c r="O3" s="61" t="s">
        <v>35</v>
      </c>
      <c r="P3" s="61" t="s">
        <v>34</v>
      </c>
    </row>
    <row r="4" spans="1:16" x14ac:dyDescent="0.3">
      <c r="A4" s="3" t="s">
        <v>69</v>
      </c>
      <c r="B4" s="1">
        <f>'Table S6'!B7/'Table S8'!B5</f>
        <v>1.2105658882979948</v>
      </c>
      <c r="C4" s="1">
        <f>'Table S6'!C7/'Table S8'!C5</f>
        <v>0.73942890980386411</v>
      </c>
      <c r="D4" s="1">
        <f>'Table S6'!D7/'Table S8'!D5</f>
        <v>1.1640334512387818</v>
      </c>
      <c r="E4" s="1">
        <f>'Table S6'!E7/'Table S8'!E5</f>
        <v>1.3456870874004419</v>
      </c>
      <c r="F4" s="1"/>
      <c r="G4" s="1">
        <f>'Table S6'!G7/'Table S8'!G5</f>
        <v>1.2278388844883488</v>
      </c>
      <c r="H4" s="1">
        <f>'Table S6'!H7/'Table S8'!H5</f>
        <v>1.4645268709361514</v>
      </c>
      <c r="I4" s="1">
        <f>'Table S6'!I7/'Table S8'!I5</f>
        <v>1.608183921948954</v>
      </c>
      <c r="J4" s="1">
        <f>'Table S6'!J7/'Table S8'!J5</f>
        <v>1.3560544737540272</v>
      </c>
      <c r="K4" s="1"/>
      <c r="L4" s="1">
        <f>'Table S6'!L7/'Table S8'!L5</f>
        <v>1.1925699169143191</v>
      </c>
      <c r="M4" s="1">
        <f>'Table S6'!M7/'Table S8'!M5</f>
        <v>1.6311369017415571</v>
      </c>
      <c r="N4" s="1"/>
      <c r="O4" s="16">
        <f>AVERAGE(B4:E4)</f>
        <v>1.1149288341852706</v>
      </c>
      <c r="P4" s="16">
        <f>AVERAGE(B4:M4)</f>
        <v>1.2940026306524441</v>
      </c>
    </row>
    <row r="5" spans="1:16" x14ac:dyDescent="0.3">
      <c r="A5" s="3" t="s">
        <v>70</v>
      </c>
      <c r="B5" s="1">
        <f>'Table S6'!B8/'Table S8'!B6</f>
        <v>1.8317156914231565</v>
      </c>
      <c r="C5" s="1">
        <f>'Table S6'!C8/'Table S8'!C6</f>
        <v>1.2828024804930134</v>
      </c>
      <c r="D5" s="1">
        <f>'Table S6'!D8/'Table S8'!D6</f>
        <v>1.8913507476862941</v>
      </c>
      <c r="E5" s="1">
        <f>'Table S6'!E8/'Table S8'!E6</f>
        <v>1.9396920695150885</v>
      </c>
      <c r="F5" s="1"/>
      <c r="G5" s="1">
        <f>'Table S6'!G8/'Table S8'!G6</f>
        <v>1.9981068671780065</v>
      </c>
      <c r="H5" s="1">
        <f>'Table S6'!H8/'Table S8'!H6</f>
        <v>2.5267076068412155</v>
      </c>
      <c r="I5" s="1">
        <f>'Table S6'!I8/'Table S8'!I6</f>
        <v>2.8781834726246083</v>
      </c>
      <c r="J5" s="1">
        <f>'Table S6'!J8/'Table S8'!J6</f>
        <v>1.9607757107486334</v>
      </c>
      <c r="K5" s="1"/>
      <c r="L5" s="1">
        <f>'Table S6'!L8/'Table S8'!L6</f>
        <v>1.8252011293688239</v>
      </c>
      <c r="M5" s="1">
        <f>'Table S6'!M8/'Table S8'!M6</f>
        <v>3.166609107814053</v>
      </c>
      <c r="N5" s="1"/>
      <c r="O5" s="16">
        <f t="shared" ref="O5:O20" si="0">AVERAGE(B5:E5)</f>
        <v>1.7363902472793882</v>
      </c>
      <c r="P5" s="16">
        <f t="shared" ref="P5:P20" si="1">AVERAGE(B5:M5)</f>
        <v>2.1301144883692897</v>
      </c>
    </row>
    <row r="6" spans="1:16" x14ac:dyDescent="0.3">
      <c r="A6" s="3" t="s">
        <v>71</v>
      </c>
      <c r="B6" s="1">
        <f>'Table S6'!B9/'Table S8'!B7</f>
        <v>3.9430052697204458</v>
      </c>
      <c r="C6" s="1">
        <f>'Table S6'!C9/'Table S8'!C7</f>
        <v>3.1137424731238257</v>
      </c>
      <c r="D6" s="1">
        <f>'Table S6'!D9/'Table S8'!D7</f>
        <v>4.1393105920887123</v>
      </c>
      <c r="E6" s="1">
        <f>'Table S6'!E9/'Table S8'!E7</f>
        <v>4.0793511601897112</v>
      </c>
      <c r="F6" s="1"/>
      <c r="G6" s="1">
        <f>'Table S6'!G9/'Table S8'!G7</f>
        <v>2.9945905403039523</v>
      </c>
      <c r="H6" s="1">
        <f>'Table S6'!H9/'Table S8'!H7</f>
        <v>3.1677042409482294</v>
      </c>
      <c r="I6" s="1">
        <f>'Table S6'!I9/'Table S8'!I7</f>
        <v>4.606776116781786</v>
      </c>
      <c r="J6" s="1">
        <f>'Table S6'!J9/'Table S8'!J7</f>
        <v>3.2604526006721755</v>
      </c>
      <c r="K6" s="1"/>
      <c r="L6" s="1">
        <f>'Table S6'!L9/'Table S8'!L7</f>
        <v>3.598564462161717</v>
      </c>
      <c r="M6" s="1">
        <f>'Table S6'!M9/'Table S8'!M7</f>
        <v>7.5135226432332107</v>
      </c>
      <c r="N6" s="1"/>
      <c r="O6" s="16">
        <f t="shared" si="0"/>
        <v>3.8188523737806737</v>
      </c>
      <c r="P6" s="16">
        <f t="shared" si="1"/>
        <v>4.0417020099223766</v>
      </c>
    </row>
    <row r="7" spans="1:16" x14ac:dyDescent="0.3">
      <c r="A7" s="3" t="s">
        <v>72</v>
      </c>
      <c r="B7" s="1">
        <f>'Table S6'!B10/'Table S8'!B8</f>
        <v>1.8651397887474956</v>
      </c>
      <c r="C7" s="1">
        <f>'Table S6'!C10/'Table S8'!C8</f>
        <v>1.1181174354386341</v>
      </c>
      <c r="D7" s="1">
        <f>'Table S6'!D10/'Table S8'!D8</f>
        <v>2.3264111077646619</v>
      </c>
      <c r="E7" s="1">
        <f>'Table S6'!E10/'Table S8'!E8</f>
        <v>2.1134451645129166</v>
      </c>
      <c r="F7" s="1"/>
      <c r="G7" s="1">
        <f>'Table S6'!G10/'Table S8'!G8</f>
        <v>1.8305480481903329</v>
      </c>
      <c r="H7" s="1">
        <f>'Table S6'!H10/'Table S8'!H8</f>
        <v>1.9839233300739334</v>
      </c>
      <c r="I7" s="1">
        <f>'Table S6'!I10/'Table S8'!I8</f>
        <v>2.7407410951238469</v>
      </c>
      <c r="J7" s="1">
        <f>'Table S6'!J10/'Table S8'!J8</f>
        <v>2.0372393737357077</v>
      </c>
      <c r="K7" s="1"/>
      <c r="L7" s="1">
        <f>'Table S6'!L10/'Table S8'!L8</f>
        <v>1.6192247381669831</v>
      </c>
      <c r="M7" s="1">
        <f>'Table S6'!M10/'Table S8'!M8</f>
        <v>3.226058753425753</v>
      </c>
      <c r="N7" s="1"/>
      <c r="O7" s="16">
        <f t="shared" si="0"/>
        <v>1.8557783741159271</v>
      </c>
      <c r="P7" s="16">
        <f t="shared" si="1"/>
        <v>2.0860848835180268</v>
      </c>
    </row>
    <row r="8" spans="1:16" x14ac:dyDescent="0.3">
      <c r="A8" s="3" t="s">
        <v>73</v>
      </c>
      <c r="B8" s="1">
        <f>'Table S6'!B11/'Table S8'!B9</f>
        <v>2.6481492813905874</v>
      </c>
      <c r="C8" s="1">
        <f>'Table S6'!C11/'Table S8'!C9</f>
        <v>2.160442863579318</v>
      </c>
      <c r="D8" s="1">
        <f>'Table S6'!D11/'Table S8'!D9</f>
        <v>3.1194953840898423</v>
      </c>
      <c r="E8" s="1">
        <f>'Table S6'!E11/'Table S8'!E9</f>
        <v>2.9071852213581453</v>
      </c>
      <c r="F8" s="1"/>
      <c r="G8" s="1"/>
      <c r="H8" s="1"/>
      <c r="I8" s="1"/>
      <c r="J8" s="1"/>
      <c r="K8" s="1"/>
      <c r="L8" s="1"/>
      <c r="M8" s="1"/>
      <c r="N8" s="1"/>
      <c r="O8" s="16">
        <f t="shared" si="0"/>
        <v>2.7088181876044732</v>
      </c>
      <c r="P8" s="16">
        <f t="shared" si="1"/>
        <v>2.7088181876044732</v>
      </c>
    </row>
    <row r="9" spans="1:16" x14ac:dyDescent="0.3">
      <c r="A9" s="3" t="s">
        <v>74</v>
      </c>
      <c r="B9" s="1">
        <f>'Table S6'!B12/'Table S8'!B10</f>
        <v>2.9549811374959694</v>
      </c>
      <c r="C9" s="1">
        <f>'Table S6'!C12/'Table S8'!C10</f>
        <v>2.3420376399438312</v>
      </c>
      <c r="D9" s="1">
        <f>'Table S6'!D12/'Table S8'!D10</f>
        <v>4.4366899784033791</v>
      </c>
      <c r="E9" s="1">
        <f>'Table S6'!E12/'Table S8'!E10</f>
        <v>3.3117181897551897</v>
      </c>
      <c r="F9" s="7"/>
      <c r="G9" s="7"/>
      <c r="H9" s="7"/>
      <c r="I9" s="7"/>
      <c r="J9" s="7"/>
      <c r="K9" s="7"/>
      <c r="L9" s="7"/>
      <c r="M9" s="7"/>
      <c r="O9" s="8">
        <f t="shared" si="0"/>
        <v>3.2613567363995926</v>
      </c>
      <c r="P9" s="8">
        <f t="shared" si="1"/>
        <v>3.2613567363995926</v>
      </c>
    </row>
    <row r="10" spans="1:16" x14ac:dyDescent="0.3">
      <c r="A10" s="3"/>
      <c r="B10" s="1"/>
      <c r="C10" s="1"/>
      <c r="D10" s="1"/>
      <c r="E10" s="1"/>
      <c r="F10" s="7"/>
      <c r="G10" s="7"/>
      <c r="H10" s="7"/>
      <c r="I10" s="7"/>
      <c r="J10" s="7"/>
      <c r="K10" s="7"/>
      <c r="L10" s="7"/>
      <c r="M10" s="7"/>
      <c r="O10" s="8"/>
      <c r="P10" s="8"/>
    </row>
    <row r="11" spans="1:16" ht="43.2" x14ac:dyDescent="0.3">
      <c r="A11" s="20" t="s">
        <v>84</v>
      </c>
      <c r="B11" s="61" t="s">
        <v>0</v>
      </c>
      <c r="C11" s="61" t="s">
        <v>1</v>
      </c>
      <c r="D11" s="61" t="s">
        <v>2</v>
      </c>
      <c r="E11" s="61" t="s">
        <v>3</v>
      </c>
      <c r="F11" s="61"/>
      <c r="G11" s="61" t="s">
        <v>4</v>
      </c>
      <c r="H11" s="61" t="s">
        <v>5</v>
      </c>
      <c r="I11" s="61" t="s">
        <v>6</v>
      </c>
      <c r="J11" s="61" t="s">
        <v>7</v>
      </c>
      <c r="K11" s="61" t="s">
        <v>8</v>
      </c>
      <c r="L11" s="61" t="s">
        <v>9</v>
      </c>
      <c r="M11" s="61" t="s">
        <v>10</v>
      </c>
      <c r="N11" s="61"/>
      <c r="O11" s="61" t="s">
        <v>35</v>
      </c>
      <c r="P11" s="61" t="s">
        <v>34</v>
      </c>
    </row>
    <row r="12" spans="1:16" x14ac:dyDescent="0.3">
      <c r="A12" s="3" t="s">
        <v>69</v>
      </c>
      <c r="B12" s="1">
        <f>'Table S6'!B13/'Table S8'!B12</f>
        <v>-0.54535968634572263</v>
      </c>
      <c r="C12" s="1">
        <f>'Table S6'!C13/'Table S8'!C12</f>
        <v>7.6920962751191008E-2</v>
      </c>
      <c r="D12" s="1">
        <f>'Table S6'!D13/'Table S8'!D12</f>
        <v>-0.33572111305649638</v>
      </c>
      <c r="E12" s="1">
        <f>'Table S6'!E13/'Table S8'!E12</f>
        <v>-0.65787215049177961</v>
      </c>
      <c r="F12" s="1"/>
      <c r="G12" s="1">
        <f>'Table S6'!G13/'Table S8'!G12</f>
        <v>-0.48192485765921389</v>
      </c>
      <c r="H12" s="1">
        <f>'Table S6'!H13/'Table S8'!H12</f>
        <v>-0.88975505210864625</v>
      </c>
      <c r="I12" s="1">
        <f>'Table S6'!I13/'Table S8'!I12</f>
        <v>-0.5074850471575495</v>
      </c>
      <c r="J12" s="1"/>
      <c r="K12" s="1">
        <f>'Table S6'!K13/'Table S8'!K12</f>
        <v>-0.67438851739439087</v>
      </c>
      <c r="L12" s="1">
        <f>'Table S6'!L13/'Table S8'!L12</f>
        <v>-0.17401069683515927</v>
      </c>
      <c r="M12" s="1">
        <f>'Table S6'!M13/'Table S8'!M12</f>
        <v>-0.81343218505480763</v>
      </c>
      <c r="O12" s="8">
        <f t="shared" si="0"/>
        <v>-0.36550799678570189</v>
      </c>
      <c r="P12" s="8">
        <f t="shared" si="1"/>
        <v>-0.50030283433525757</v>
      </c>
    </row>
    <row r="13" spans="1:16" x14ac:dyDescent="0.3">
      <c r="A13" s="3" t="s">
        <v>70</v>
      </c>
      <c r="B13" s="1">
        <f>'Table S6'!B14/'Table S8'!B13</f>
        <v>-0.47297316948705276</v>
      </c>
      <c r="C13" s="1">
        <f>'Table S6'!C14/'Table S8'!C13</f>
        <v>0.10194344461001217</v>
      </c>
      <c r="D13" s="1">
        <f>'Table S6'!D14/'Table S8'!D13</f>
        <v>-0.17977242783710304</v>
      </c>
      <c r="E13" s="1">
        <f>'Table S6'!E14/'Table S8'!E13</f>
        <v>-0.32554720173335472</v>
      </c>
      <c r="F13" s="1"/>
      <c r="G13" s="1">
        <f>'Table S6'!G14/'Table S8'!G13</f>
        <v>-0.32226296971741625</v>
      </c>
      <c r="H13" s="1">
        <f>'Table S6'!H14/'Table S8'!H13</f>
        <v>-0.90259331379209828</v>
      </c>
      <c r="I13" s="1">
        <f>'Table S6'!I14/'Table S8'!I13</f>
        <v>-0.63405457530611697</v>
      </c>
      <c r="J13" s="1"/>
      <c r="K13" s="1">
        <f>'Table S6'!K14/'Table S8'!K13</f>
        <v>-0.59357176633375275</v>
      </c>
      <c r="L13" s="1">
        <f>'Table S6'!L14/'Table S8'!L13</f>
        <v>-0.14458466624824803</v>
      </c>
      <c r="M13" s="1">
        <f>'Table S6'!M14/'Table S8'!M13</f>
        <v>-0.79338524050940651</v>
      </c>
      <c r="O13" s="8">
        <f t="shared" si="0"/>
        <v>-0.21908733861187457</v>
      </c>
      <c r="P13" s="8">
        <f t="shared" si="1"/>
        <v>-0.42668018863545376</v>
      </c>
    </row>
    <row r="14" spans="1:16" x14ac:dyDescent="0.3">
      <c r="A14" s="3" t="s">
        <v>71</v>
      </c>
      <c r="B14" s="1">
        <f>'Table S6'!B15/'Table S8'!B14</f>
        <v>-0.66339521142429447</v>
      </c>
      <c r="C14" s="1">
        <f>'Table S6'!C15/'Table S8'!C14</f>
        <v>-6.9910537004391302E-2</v>
      </c>
      <c r="D14" s="1">
        <f>'Table S6'!D15/'Table S8'!D14</f>
        <v>-0.36167239127419126</v>
      </c>
      <c r="E14" s="1">
        <f>'Table S6'!E15/'Table S8'!E14</f>
        <v>-0.7216660402085906</v>
      </c>
      <c r="F14" s="1"/>
      <c r="G14" s="1">
        <f>'Table S6'!G15/'Table S8'!G14</f>
        <v>-0.51527234108320386</v>
      </c>
      <c r="H14" s="1">
        <f>'Table S6'!H15/'Table S8'!H14</f>
        <v>-0.83634475721269674</v>
      </c>
      <c r="I14" s="1">
        <f>'Table S6'!I15/'Table S8'!I14</f>
        <v>-0.47462645946732918</v>
      </c>
      <c r="J14" s="1"/>
      <c r="K14" s="1">
        <f>'Table S6'!K15/'Table S8'!K14</f>
        <v>-0.53961783248951178</v>
      </c>
      <c r="L14" s="1">
        <f>'Table S6'!L15/'Table S8'!L14</f>
        <v>-0.32970447821398596</v>
      </c>
      <c r="M14" s="1">
        <f>'Table S6'!M15/'Table S8'!M14</f>
        <v>-0.73648650817856443</v>
      </c>
      <c r="O14" s="8">
        <f t="shared" si="0"/>
        <v>-0.45416104497786691</v>
      </c>
      <c r="P14" s="8">
        <f t="shared" si="1"/>
        <v>-0.524869655655676</v>
      </c>
    </row>
    <row r="15" spans="1:16" x14ac:dyDescent="0.3">
      <c r="A15" s="3" t="s">
        <v>72</v>
      </c>
      <c r="B15" s="1">
        <f>'Table S6'!B16/'Table S8'!B15</f>
        <v>-0.44188677714250468</v>
      </c>
      <c r="C15" s="1">
        <f>'Table S6'!C16/'Table S8'!C15</f>
        <v>0.14883568401593728</v>
      </c>
      <c r="D15" s="1">
        <f>'Table S6'!D16/'Table S8'!D15</f>
        <v>-0.126765133361955</v>
      </c>
      <c r="E15" s="1">
        <f>'Table S6'!E16/'Table S8'!E15</f>
        <v>-0.49383425678021253</v>
      </c>
      <c r="F15" s="1"/>
      <c r="G15" s="1">
        <f>'Table S6'!G16/'Table S8'!G15</f>
        <v>-0.36540321812115067</v>
      </c>
      <c r="H15" s="1">
        <f>'Table S6'!H16/'Table S8'!H15</f>
        <v>-0.67853582322010286</v>
      </c>
      <c r="I15" s="1">
        <f>'Table S6'!I16/'Table S8'!I15</f>
        <v>-0.40215185564601469</v>
      </c>
      <c r="J15" s="1"/>
      <c r="K15" s="1">
        <f>'Table S6'!K16/'Table S8'!K15</f>
        <v>-0.21302675851960598</v>
      </c>
      <c r="L15" s="1">
        <f>'Table S6'!L16/'Table S8'!L15</f>
        <v>-0.13704901653378937</v>
      </c>
      <c r="M15" s="1">
        <f>'Table S6'!M16/'Table S8'!M15</f>
        <v>-0.65723923880553348</v>
      </c>
      <c r="O15" s="8">
        <f t="shared" si="0"/>
        <v>-0.22841262081718372</v>
      </c>
      <c r="P15" s="8">
        <f t="shared" si="1"/>
        <v>-0.33670563941149317</v>
      </c>
    </row>
    <row r="16" spans="1:16" x14ac:dyDescent="0.3">
      <c r="A16" s="3" t="s">
        <v>73</v>
      </c>
      <c r="B16" s="1">
        <f>'Table S6'!B17/'Table S8'!B16</f>
        <v>-0.46178431818911592</v>
      </c>
      <c r="C16" s="1">
        <f>'Table S6'!C17/'Table S8'!C16</f>
        <v>2.0130623219171305E-3</v>
      </c>
      <c r="D16" s="1">
        <f>'Table S6'!D17/'Table S8'!D16</f>
        <v>-0.29486541716878378</v>
      </c>
      <c r="E16" s="1">
        <f>'Table S6'!E17/'Table S8'!E16</f>
        <v>-0.76851369877967224</v>
      </c>
      <c r="F16" s="1"/>
      <c r="G16" s="1"/>
      <c r="H16" s="1"/>
      <c r="I16" s="1"/>
      <c r="J16" s="1"/>
      <c r="K16" s="1"/>
      <c r="L16" s="1"/>
      <c r="M16" s="1"/>
      <c r="N16" s="2"/>
      <c r="O16" s="8">
        <f t="shared" si="0"/>
        <v>-0.38078759295391373</v>
      </c>
      <c r="P16" s="8">
        <f t="shared" si="1"/>
        <v>-0.38078759295391373</v>
      </c>
    </row>
    <row r="17" spans="1:16" x14ac:dyDescent="0.3">
      <c r="A17" s="3" t="s">
        <v>74</v>
      </c>
      <c r="B17" s="1">
        <f>'Table S6'!B18/'Table S8'!B17</f>
        <v>-0.27364116123194226</v>
      </c>
      <c r="C17" s="1">
        <f>'Table S6'!C18/'Table S8'!C17</f>
        <v>-6.471589584242432E-2</v>
      </c>
      <c r="D17" s="1">
        <f>'Table S6'!D18/'Table S8'!D17</f>
        <v>-0.24486368680893872</v>
      </c>
      <c r="E17" s="1">
        <f>'Table S6'!E18/'Table S8'!E17</f>
        <v>-0.75645725346887382</v>
      </c>
      <c r="F17" s="1"/>
      <c r="G17" s="1"/>
      <c r="H17" s="1"/>
      <c r="I17" s="1"/>
      <c r="J17" s="1"/>
      <c r="K17" s="1"/>
      <c r="L17" s="1"/>
      <c r="M17" s="1"/>
      <c r="O17" s="8">
        <f t="shared" si="0"/>
        <v>-0.33491949933804477</v>
      </c>
      <c r="P17" s="8">
        <f t="shared" si="1"/>
        <v>-0.33491949933804477</v>
      </c>
    </row>
    <row r="18" spans="1:16" x14ac:dyDescent="0.3">
      <c r="A18" s="3"/>
      <c r="B18" s="1"/>
      <c r="C18" s="1"/>
      <c r="D18" s="1"/>
      <c r="E18" s="1"/>
      <c r="F18" s="1"/>
      <c r="G18" s="1"/>
      <c r="H18" s="1"/>
      <c r="I18" s="1"/>
      <c r="J18" s="1"/>
      <c r="K18" s="1"/>
      <c r="L18" s="1"/>
      <c r="M18" s="1"/>
      <c r="O18" s="8"/>
      <c r="P18" s="8"/>
    </row>
    <row r="19" spans="1:16" ht="43.2" x14ac:dyDescent="0.3">
      <c r="A19" s="20" t="s">
        <v>85</v>
      </c>
      <c r="B19" s="61" t="s">
        <v>0</v>
      </c>
      <c r="C19" s="61" t="s">
        <v>1</v>
      </c>
      <c r="D19" s="61" t="s">
        <v>2</v>
      </c>
      <c r="E19" s="61" t="s">
        <v>3</v>
      </c>
      <c r="F19" s="61"/>
      <c r="G19" s="61" t="s">
        <v>4</v>
      </c>
      <c r="H19" s="61" t="s">
        <v>5</v>
      </c>
      <c r="I19" s="61" t="s">
        <v>6</v>
      </c>
      <c r="J19" s="61" t="s">
        <v>7</v>
      </c>
      <c r="K19" s="61" t="s">
        <v>8</v>
      </c>
      <c r="L19" s="61" t="s">
        <v>9</v>
      </c>
      <c r="M19" s="61" t="s">
        <v>10</v>
      </c>
      <c r="N19" s="61"/>
      <c r="O19" s="61" t="s">
        <v>35</v>
      </c>
      <c r="P19" s="61" t="s">
        <v>34</v>
      </c>
    </row>
    <row r="20" spans="1:16" x14ac:dyDescent="0.3">
      <c r="A20" s="3" t="s">
        <v>69</v>
      </c>
      <c r="B20" s="1">
        <f>'Table S6'!B19/'Table S8'!B19</f>
        <v>-0.25305182487688477</v>
      </c>
      <c r="C20" s="1">
        <f>'Table S6'!C19/'Table S8'!C19</f>
        <v>-0.36384703988027056</v>
      </c>
      <c r="D20" s="1">
        <f>'Table S6'!D19/'Table S8'!D19</f>
        <v>-0.18669246627306768</v>
      </c>
      <c r="E20" s="1">
        <f>'Table S6'!E19/'Table S8'!E19</f>
        <v>-0.21768670528601106</v>
      </c>
      <c r="F20" s="1"/>
      <c r="G20" s="1">
        <f>'Table S6'!G19/'Table S8'!G19</f>
        <v>-0.13172229413157766</v>
      </c>
      <c r="H20" s="1">
        <f>'Table S6'!H19/'Table S8'!H19</f>
        <v>-0.20958154586568364</v>
      </c>
      <c r="I20" s="1">
        <f>'Table S6'!I19/'Table S8'!I19</f>
        <v>-0.23296235873112642</v>
      </c>
      <c r="J20" s="1">
        <f>'Table S6'!J19/'Table S8'!J19</f>
        <v>-0.21040946724550363</v>
      </c>
      <c r="K20" s="1">
        <f>'Table S6'!K19/'Table S8'!K19</f>
        <v>-0.11792599522639334</v>
      </c>
      <c r="L20" s="1">
        <f>'Table S6'!L19/'Table S8'!L19</f>
        <v>-0.15242010538476397</v>
      </c>
      <c r="M20" s="1">
        <f>'Table S6'!M19/'Table S8'!M19</f>
        <v>-0.26043397878263441</v>
      </c>
      <c r="O20" s="8">
        <f t="shared" si="0"/>
        <v>-0.25531950907905854</v>
      </c>
      <c r="P20" s="8">
        <f t="shared" si="1"/>
        <v>-0.21243034378944703</v>
      </c>
    </row>
    <row r="21" spans="1:16" x14ac:dyDescent="0.3">
      <c r="A21" s="3" t="s">
        <v>70</v>
      </c>
      <c r="B21" s="1">
        <f>'Table S6'!B20/'Table S8'!B20</f>
        <v>-0.2462092602929476</v>
      </c>
      <c r="C21" s="1">
        <f>'Table S6'!C20/'Table S8'!C20</f>
        <v>-0.34735005422696408</v>
      </c>
      <c r="D21" s="1">
        <f>'Table S6'!D20/'Table S8'!D20</f>
        <v>-0.19344030721501895</v>
      </c>
      <c r="E21" s="1">
        <f>'Table S6'!E20/'Table S8'!E20</f>
        <v>-0.19582572118996683</v>
      </c>
      <c r="F21" s="1"/>
      <c r="G21" s="1">
        <f>'Table S6'!G20/'Table S8'!G20</f>
        <v>-8.3046683684944667E-2</v>
      </c>
      <c r="H21" s="1">
        <f>'Table S6'!H20/'Table S8'!H20</f>
        <v>-0.21021746424422438</v>
      </c>
      <c r="I21" s="1">
        <f>'Table S6'!I20/'Table S8'!I20</f>
        <v>-0.22889447503735824</v>
      </c>
      <c r="J21" s="1">
        <f>'Table S6'!J20/'Table S8'!J20</f>
        <v>-0.20859534774835178</v>
      </c>
      <c r="K21" s="1">
        <f>'Table S6'!K20/'Table S8'!K20</f>
        <v>-0.12004789823102287</v>
      </c>
      <c r="L21" s="1">
        <f>'Table S6'!L20/'Table S8'!L20</f>
        <v>-0.15481894011881447</v>
      </c>
      <c r="M21" s="1">
        <f>'Table S6'!M20/'Table S8'!M20</f>
        <v>-0.26003494629527274</v>
      </c>
      <c r="O21" s="8">
        <f t="shared" ref="O21:O25" si="2">AVERAGE(B21:E21)</f>
        <v>-0.24570633573122436</v>
      </c>
      <c r="P21" s="8">
        <f t="shared" ref="P21:P25" si="3">AVERAGE(B21:M21)</f>
        <v>-0.20440737257135336</v>
      </c>
    </row>
    <row r="22" spans="1:16" x14ac:dyDescent="0.3">
      <c r="A22" s="3" t="s">
        <v>71</v>
      </c>
      <c r="B22" s="1">
        <f>'Table S6'!B21/'Table S8'!B21</f>
        <v>-0.22893499290748218</v>
      </c>
      <c r="C22" s="1">
        <f>'Table S6'!C21/'Table S8'!C21</f>
        <v>-0.30871894197141603</v>
      </c>
      <c r="D22" s="1">
        <f>'Table S6'!D21/'Table S8'!D21</f>
        <v>-0.18653329628822096</v>
      </c>
      <c r="E22" s="1">
        <f>'Table S6'!E21/'Table S8'!E21</f>
        <v>-0.23281513345968735</v>
      </c>
      <c r="F22" s="1"/>
      <c r="G22" s="1">
        <f>'Table S6'!G21/'Table S8'!G21</f>
        <v>-0.18407033935056247</v>
      </c>
      <c r="H22" s="1">
        <f>'Table S6'!H21/'Table S8'!H21</f>
        <v>-0.20691525967120741</v>
      </c>
      <c r="I22" s="1">
        <f>'Table S6'!I21/'Table S8'!I21</f>
        <v>-0.21358687986122818</v>
      </c>
      <c r="J22" s="1">
        <f>'Table S6'!J21/'Table S8'!J21</f>
        <v>-0.20144473292509968</v>
      </c>
      <c r="K22" s="1">
        <f>'Table S6'!K21/'Table S8'!K21</f>
        <v>-0.12055730827877428</v>
      </c>
      <c r="L22" s="1">
        <f>'Table S6'!L21/'Table S8'!L21</f>
        <v>-0.15502403531080569</v>
      </c>
      <c r="M22" s="1">
        <f>'Table S6'!M21/'Table S8'!M21</f>
        <v>-0.23033395054529221</v>
      </c>
      <c r="N22" s="2"/>
      <c r="O22" s="8">
        <f t="shared" si="2"/>
        <v>-0.23925059115670161</v>
      </c>
      <c r="P22" s="8">
        <f t="shared" si="3"/>
        <v>-0.20626680641543424</v>
      </c>
    </row>
    <row r="23" spans="1:16" x14ac:dyDescent="0.3">
      <c r="A23" s="3" t="s">
        <v>72</v>
      </c>
      <c r="B23" s="1">
        <f>'Table S6'!B22/'Table S8'!B22</f>
        <v>-0.23460252475363058</v>
      </c>
      <c r="C23" s="1">
        <f>'Table S6'!C22/'Table S8'!C22</f>
        <v>-0.31555635419495581</v>
      </c>
      <c r="D23" s="1">
        <f>'Table S6'!D22/'Table S8'!D22</f>
        <v>-0.19030066741022111</v>
      </c>
      <c r="E23" s="1">
        <f>'Table S6'!E22/'Table S8'!E22</f>
        <v>-0.23214078696160437</v>
      </c>
      <c r="F23" s="1"/>
      <c r="G23" s="1">
        <f>'Table S6'!G22/'Table S8'!G22</f>
        <v>-0.15523132711300372</v>
      </c>
      <c r="H23" s="1">
        <f>'Table S6'!H22/'Table S8'!H22</f>
        <v>-0.2018894751933126</v>
      </c>
      <c r="I23" s="1">
        <f>'Table S6'!I22/'Table S8'!I22</f>
        <v>-0.22389089712713475</v>
      </c>
      <c r="J23" s="1">
        <f>'Table S6'!J22/'Table S8'!J22</f>
        <v>-0.2041342252489218</v>
      </c>
      <c r="K23" s="1">
        <f>'Table S6'!K22/'Table S8'!K22</f>
        <v>-0.12103601771342795</v>
      </c>
      <c r="L23" s="1">
        <f>'Table S6'!L22/'Table S8'!L22</f>
        <v>-0.14708913824552161</v>
      </c>
      <c r="M23" s="1">
        <f>'Table S6'!M22/'Table S8'!M22</f>
        <v>-0.24537372176011096</v>
      </c>
      <c r="O23" s="8">
        <f t="shared" si="2"/>
        <v>-0.24315008333010296</v>
      </c>
      <c r="P23" s="8">
        <f t="shared" si="3"/>
        <v>-0.20647683052016774</v>
      </c>
    </row>
    <row r="24" spans="1:16" x14ac:dyDescent="0.3">
      <c r="A24" s="3" t="s">
        <v>73</v>
      </c>
      <c r="B24" s="1">
        <f>'Table S6'!B23/'Table S8'!B23</f>
        <v>-0.24223200669001299</v>
      </c>
      <c r="C24" s="1">
        <f>'Table S6'!C23/'Table S8'!C23</f>
        <v>-0.3239135212127966</v>
      </c>
      <c r="D24" s="1">
        <f>'Table S6'!D23/'Table S8'!D23</f>
        <v>-0.19297813250366999</v>
      </c>
      <c r="E24" s="1">
        <f>'Table S6'!E23/'Table S8'!E23</f>
        <v>-0.22949250710145636</v>
      </c>
      <c r="F24" s="1"/>
      <c r="G24" s="1"/>
      <c r="H24" s="1"/>
      <c r="I24" s="1"/>
      <c r="J24" s="1"/>
      <c r="K24" s="1"/>
      <c r="L24" s="1"/>
      <c r="M24" s="1"/>
      <c r="O24" s="8">
        <f t="shared" si="2"/>
        <v>-0.24715404187698398</v>
      </c>
      <c r="P24" s="8">
        <f t="shared" si="3"/>
        <v>-0.24715404187698398</v>
      </c>
    </row>
    <row r="25" spans="1:16" x14ac:dyDescent="0.3">
      <c r="A25" s="3" t="s">
        <v>74</v>
      </c>
      <c r="B25" s="1">
        <f>'Table S6'!B24/'Table S8'!B24</f>
        <v>-0.15087333499820252</v>
      </c>
      <c r="C25" s="1">
        <f>'Table S6'!C24/'Table S8'!C24</f>
        <v>-0.24870805901228002</v>
      </c>
      <c r="D25" s="1">
        <f>'Table S6'!D24/'Table S8'!D24</f>
        <v>-0.11899221652575617</v>
      </c>
      <c r="E25" s="1">
        <f>'Table S6'!E24/'Table S8'!E24</f>
        <v>-0.15567447147365601</v>
      </c>
      <c r="F25" s="1"/>
      <c r="G25" s="1"/>
      <c r="H25" s="1"/>
      <c r="I25" s="1"/>
      <c r="J25" s="1"/>
      <c r="K25" s="1"/>
      <c r="L25" s="1"/>
      <c r="M25" s="1"/>
      <c r="O25" s="8">
        <f t="shared" si="2"/>
        <v>-0.16856202050247368</v>
      </c>
      <c r="P25" s="8">
        <f t="shared" si="3"/>
        <v>-0.16856202050247368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opLeftCell="A6" workbookViewId="0">
      <selection activeCell="P3" sqref="P3"/>
    </sheetView>
  </sheetViews>
  <sheetFormatPr defaultRowHeight="14.4" x14ac:dyDescent="0.3"/>
  <cols>
    <col min="1" max="1" width="12.21875" style="6" customWidth="1"/>
    <col min="16" max="16" width="8.88671875" style="4"/>
  </cols>
  <sheetData>
    <row r="1" spans="1:16" x14ac:dyDescent="0.3">
      <c r="A1" s="6" t="s">
        <v>88</v>
      </c>
    </row>
    <row r="2" spans="1:16" s="3" customFormat="1" x14ac:dyDescent="0.3">
      <c r="A2" s="6"/>
      <c r="O2" s="3" t="s">
        <v>35</v>
      </c>
      <c r="P2" s="6" t="s">
        <v>34</v>
      </c>
    </row>
    <row r="3" spans="1:16" x14ac:dyDescent="0.3">
      <c r="A3" s="6" t="s">
        <v>68</v>
      </c>
      <c r="B3" s="9">
        <f>1-EXP(-1/'Table S4'!B32)</f>
        <v>9.1392369694756836E-2</v>
      </c>
      <c r="C3" s="9">
        <f>1-EXP(-1/'Table S4'!C32)</f>
        <v>8.0183119094582977E-2</v>
      </c>
      <c r="D3" s="9">
        <f>1-EXP(-1/'Table S4'!D32)</f>
        <v>8.5543507429330479E-2</v>
      </c>
      <c r="E3" s="9">
        <f>1-EXP(-1/'Table S4'!E32)</f>
        <v>8.8818322150331031E-2</v>
      </c>
      <c r="F3" s="9"/>
      <c r="G3" s="9">
        <f>1-EXP(-1/'Table S4'!G32)</f>
        <v>8.2066273410427382E-2</v>
      </c>
      <c r="H3" s="9">
        <f>1-EXP(-1/'Table S4'!H32)</f>
        <v>7.7947221288652613E-2</v>
      </c>
      <c r="I3" s="9">
        <f>1-EXP(-1/'Table S4'!I32)</f>
        <v>8.6169609286507076E-2</v>
      </c>
      <c r="J3" s="9">
        <f>1-EXP(-1/'Table S4'!J32)</f>
        <v>8.8409212700011786E-2</v>
      </c>
      <c r="K3" s="9">
        <f>1-EXP(-1/'Table S4'!K32)</f>
        <v>0.12340937274155928</v>
      </c>
      <c r="L3" s="9">
        <f>1-EXP(-1/'Table S4'!L32)</f>
        <v>9.4137218317007165E-2</v>
      </c>
      <c r="M3" s="9">
        <f>1-EXP(-1/'Table S4'!M32)</f>
        <v>7.8141650322132272E-2</v>
      </c>
      <c r="O3" s="18">
        <f t="shared" ref="O3" si="0">AVERAGE(B3:E3)</f>
        <v>8.6484329592250331E-2</v>
      </c>
      <c r="P3" s="19">
        <f t="shared" ref="P3" si="1">AVERAGE(B3:M3)</f>
        <v>8.8747079675936258E-2</v>
      </c>
    </row>
    <row r="5" spans="1:16" s="3" customFormat="1" ht="43.2" x14ac:dyDescent="0.3">
      <c r="A5" s="23" t="s">
        <v>83</v>
      </c>
      <c r="B5" s="61" t="s">
        <v>0</v>
      </c>
      <c r="C5" s="61" t="s">
        <v>1</v>
      </c>
      <c r="D5" s="61" t="s">
        <v>2</v>
      </c>
      <c r="E5" s="61" t="s">
        <v>3</v>
      </c>
      <c r="F5" s="61"/>
      <c r="G5" s="61" t="s">
        <v>4</v>
      </c>
      <c r="H5" s="61" t="s">
        <v>5</v>
      </c>
      <c r="I5" s="61" t="s">
        <v>6</v>
      </c>
      <c r="J5" s="61" t="s">
        <v>7</v>
      </c>
      <c r="K5" s="61" t="s">
        <v>8</v>
      </c>
      <c r="L5" s="61" t="s">
        <v>9</v>
      </c>
      <c r="M5" s="61" t="s">
        <v>10</v>
      </c>
      <c r="N5" s="61"/>
      <c r="O5" s="61" t="s">
        <v>35</v>
      </c>
      <c r="P5" s="61" t="s">
        <v>34</v>
      </c>
    </row>
    <row r="6" spans="1:16" x14ac:dyDescent="0.3">
      <c r="A6" s="6" t="s">
        <v>69</v>
      </c>
      <c r="B6" s="18">
        <f>-1*'Table S9'!B4*B$3</f>
        <v>-0.11063648520319205</v>
      </c>
      <c r="C6" s="18">
        <f>-1*'Table S9'!C4*C$3</f>
        <v>-5.9289716336780887E-2</v>
      </c>
      <c r="D6" s="18">
        <f>-1*'Table S9'!D4*D$3</f>
        <v>-9.9575504184033922E-2</v>
      </c>
      <c r="E6" s="18">
        <f>-1*'Table S9'!E4*E$3</f>
        <v>-0.11952166924227312</v>
      </c>
      <c r="F6" s="18"/>
      <c r="G6" s="18">
        <f>-1*'Table S9'!G4*G$3</f>
        <v>-0.10076416159837499</v>
      </c>
      <c r="H6" s="18">
        <f>-1*'Table S9'!H4*H$3</f>
        <v>-0.11415580009203818</v>
      </c>
      <c r="I6" s="18">
        <f>-1*'Table S9'!I4*I$3</f>
        <v>-0.13857658021518396</v>
      </c>
      <c r="J6" s="18">
        <f>-1*'Table S9'!J4*J$3</f>
        <v>-0.11988770840292234</v>
      </c>
      <c r="K6" s="18"/>
      <c r="L6" s="18">
        <f>-1*'Table S9'!L4*L$3</f>
        <v>-0.11226521462685836</v>
      </c>
      <c r="M6" s="18">
        <f>-1*'Table S9'!M4*M$3</f>
        <v>-0.12745972940341499</v>
      </c>
      <c r="O6" s="18">
        <f t="shared" ref="O6:O11" si="2">AVERAGE(B6:E6)</f>
        <v>-9.7255843741570008E-2</v>
      </c>
      <c r="P6" s="19">
        <f t="shared" ref="P6:P11" si="3">AVERAGE(B6:M6)</f>
        <v>-0.11021325693050728</v>
      </c>
    </row>
    <row r="7" spans="1:16" x14ac:dyDescent="0.3">
      <c r="A7" s="6" t="s">
        <v>70</v>
      </c>
      <c r="B7" s="18">
        <f>-1*'Table S9'!B5*B$3</f>
        <v>-0.16740483764623226</v>
      </c>
      <c r="C7" s="18">
        <f>-1*'Table S9'!C5*C$3</f>
        <v>-0.10285910406819775</v>
      </c>
      <c r="D7" s="18">
        <f>-1*'Table S9'!D5*D$3</f>
        <v>-0.16179277673617226</v>
      </c>
      <c r="E7" s="18">
        <f>-1*'Table S9'!E5*E$3</f>
        <v>-0.17228019510263343</v>
      </c>
      <c r="F7" s="18"/>
      <c r="G7" s="18">
        <f>-1*'Table S9'!G5*G$3</f>
        <v>-0.16397718446508278</v>
      </c>
      <c r="H7" s="18">
        <f>-1*'Table S9'!H5*H$3</f>
        <v>-0.19694983696217408</v>
      </c>
      <c r="I7" s="18">
        <f>-1*'Table S9'!I5*I$3</f>
        <v>-0.24801194529094464</v>
      </c>
      <c r="J7" s="18">
        <f>-1*'Table S9'!J5*J$3</f>
        <v>-0.17335063686859273</v>
      </c>
      <c r="K7" s="18"/>
      <c r="L7" s="18">
        <f>-1*'Table S9'!L5*L$3</f>
        <v>-0.17181935718784103</v>
      </c>
      <c r="M7" s="18">
        <f>-1*'Table S9'!M5*M$3</f>
        <v>-0.24744406160968499</v>
      </c>
      <c r="O7" s="18">
        <f t="shared" si="2"/>
        <v>-0.15108422838830893</v>
      </c>
      <c r="P7" s="19">
        <f t="shared" si="3"/>
        <v>-0.18058899359375558</v>
      </c>
    </row>
    <row r="8" spans="1:16" x14ac:dyDescent="0.3">
      <c r="A8" s="6" t="s">
        <v>71</v>
      </c>
      <c r="B8" s="18">
        <f>-1*'Table S9'!B6*B$3</f>
        <v>-0.36036059531866538</v>
      </c>
      <c r="C8" s="18">
        <f>-1*'Table S9'!C6*C$3</f>
        <v>-0.24966958355234906</v>
      </c>
      <c r="D8" s="18">
        <f>-1*'Table S9'!D6*D$3</f>
        <v>-0.35409114638664713</v>
      </c>
      <c r="E8" s="18">
        <f>-1*'Table S9'!E6*E$3</f>
        <v>-0.36232112551005641</v>
      </c>
      <c r="F8" s="18"/>
      <c r="G8" s="18">
        <f>-1*'Table S9'!G6*G$3</f>
        <v>-0.24575488603286361</v>
      </c>
      <c r="H8" s="18">
        <f>-1*'Table S9'!H6*H$3</f>
        <v>-0.24691374344619499</v>
      </c>
      <c r="I8" s="18">
        <f>-1*'Table S9'!I6*I$3</f>
        <v>-0.3969640980534988</v>
      </c>
      <c r="J8" s="18">
        <f>-1*'Table S9'!J6*J$3</f>
        <v>-0.28825404747113292</v>
      </c>
      <c r="K8" s="18"/>
      <c r="L8" s="18">
        <f>-1*'Table S9'!L6*L$3</f>
        <v>-0.338758848402341</v>
      </c>
      <c r="M8" s="18">
        <f>-1*'Table S9'!M6*M$3</f>
        <v>-0.58711905907495254</v>
      </c>
      <c r="O8" s="18">
        <f t="shared" si="2"/>
        <v>-0.33161061269192948</v>
      </c>
      <c r="P8" s="19">
        <f t="shared" si="3"/>
        <v>-0.34302071332487022</v>
      </c>
    </row>
    <row r="9" spans="1:16" x14ac:dyDescent="0.3">
      <c r="A9" s="6" t="s">
        <v>72</v>
      </c>
      <c r="B9" s="18">
        <f>-1*'Table S9'!B7*B$3</f>
        <v>-0.17045954510561179</v>
      </c>
      <c r="C9" s="18">
        <f>-1*'Table S9'!C7*C$3</f>
        <v>-8.9654143487505694E-2</v>
      </c>
      <c r="D9" s="18">
        <f>-1*'Table S9'!D7*D$3</f>
        <v>-0.19900936588074331</v>
      </c>
      <c r="E9" s="18">
        <f>-1*'Table S9'!E7*E$3</f>
        <v>-0.18771265346876759</v>
      </c>
      <c r="F9" s="18"/>
      <c r="G9" s="18">
        <f>-1*'Table S9'!G7*G$3</f>
        <v>-0.15022625661371206</v>
      </c>
      <c r="H9" s="18">
        <f>-1*'Table S9'!H7*H$3</f>
        <v>-0.15464131082899349</v>
      </c>
      <c r="I9" s="18">
        <f>-1*'Table S9'!I7*I$3</f>
        <v>-0.23616858932229542</v>
      </c>
      <c r="J9" s="18">
        <f>-1*'Table S9'!J7*J$3</f>
        <v>-0.18011072911343898</v>
      </c>
      <c r="K9" s="18"/>
      <c r="L9" s="18">
        <f>-1*'Table S9'!L7*L$3</f>
        <v>-0.15242931268112406</v>
      </c>
      <c r="M9" s="18">
        <f>-1*'Table S9'!M7*M$3</f>
        <v>-0.25208955502884911</v>
      </c>
      <c r="O9" s="18">
        <f t="shared" si="2"/>
        <v>-0.16170892698565709</v>
      </c>
      <c r="P9" s="19">
        <f t="shared" si="3"/>
        <v>-0.17725014615310414</v>
      </c>
    </row>
    <row r="10" spans="1:16" x14ac:dyDescent="0.3">
      <c r="A10" s="6" t="s">
        <v>73</v>
      </c>
      <c r="B10" s="18">
        <f>-1*'Table S9'!B8*B$3</f>
        <v>-0.2420206381317532</v>
      </c>
      <c r="C10" s="18">
        <f>-1*'Table S9'!C8*C$3</f>
        <v>-0.17323104742742235</v>
      </c>
      <c r="D10" s="18">
        <f>-1*'Table S9'!D8*D$3</f>
        <v>-0.26685257656465156</v>
      </c>
      <c r="E10" s="18">
        <f>-1*'Table S9'!E8*E$3</f>
        <v>-0.25821131354126919</v>
      </c>
      <c r="F10" s="18"/>
      <c r="G10" s="18"/>
      <c r="H10" s="18"/>
      <c r="I10" s="18"/>
      <c r="J10" s="18"/>
      <c r="K10" s="18"/>
      <c r="L10" s="18"/>
      <c r="M10" s="18"/>
      <c r="N10" s="2"/>
      <c r="O10" s="18">
        <f t="shared" si="2"/>
        <v>-0.23507889391627407</v>
      </c>
      <c r="P10" s="19">
        <f t="shared" si="3"/>
        <v>-0.23507889391627407</v>
      </c>
    </row>
    <row r="11" spans="1:16" x14ac:dyDescent="0.3">
      <c r="A11" s="6" t="s">
        <v>74</v>
      </c>
      <c r="B11" s="18">
        <f>-1*'Table S9'!B9*B$3</f>
        <v>-0.27006272855906471</v>
      </c>
      <c r="C11" s="18">
        <f>-1*'Table S9'!C9*C$3</f>
        <v>-0.18779188300761226</v>
      </c>
      <c r="D11" s="18">
        <f>-1*'Table S9'!D9*D$3</f>
        <v>-0.37953002212918552</v>
      </c>
      <c r="E11" s="18">
        <f>-1*'Table S9'!E9*E$3</f>
        <v>-0.29414125304878758</v>
      </c>
      <c r="F11" s="18"/>
      <c r="G11" s="18"/>
      <c r="H11" s="18"/>
      <c r="I11" s="18"/>
      <c r="J11" s="18"/>
      <c r="K11" s="18"/>
      <c r="L11" s="18"/>
      <c r="M11" s="18"/>
      <c r="N11" s="2"/>
      <c r="O11" s="18">
        <f t="shared" si="2"/>
        <v>-0.28288147168616251</v>
      </c>
      <c r="P11" s="19">
        <f t="shared" si="3"/>
        <v>-0.28288147168616251</v>
      </c>
    </row>
    <row r="12" spans="1:16" x14ac:dyDescent="0.3">
      <c r="B12" s="18"/>
      <c r="C12" s="18"/>
      <c r="D12" s="18"/>
      <c r="E12" s="18"/>
      <c r="F12" s="18"/>
      <c r="G12" s="18"/>
      <c r="H12" s="18"/>
      <c r="I12" s="18"/>
      <c r="J12" s="18"/>
      <c r="K12" s="18"/>
      <c r="L12" s="18"/>
      <c r="M12" s="18"/>
      <c r="N12" s="2"/>
      <c r="O12" s="18"/>
      <c r="P12" s="19"/>
    </row>
    <row r="13" spans="1:16" s="3" customFormat="1" ht="43.2" x14ac:dyDescent="0.3">
      <c r="A13" s="23" t="s">
        <v>84</v>
      </c>
      <c r="B13" s="61" t="s">
        <v>0</v>
      </c>
      <c r="C13" s="61" t="s">
        <v>1</v>
      </c>
      <c r="D13" s="61" t="s">
        <v>2</v>
      </c>
      <c r="E13" s="61" t="s">
        <v>3</v>
      </c>
      <c r="F13" s="61"/>
      <c r="G13" s="61" t="s">
        <v>4</v>
      </c>
      <c r="H13" s="61" t="s">
        <v>5</v>
      </c>
      <c r="I13" s="61" t="s">
        <v>6</v>
      </c>
      <c r="J13" s="61" t="s">
        <v>7</v>
      </c>
      <c r="K13" s="61" t="s">
        <v>8</v>
      </c>
      <c r="L13" s="61" t="s">
        <v>9</v>
      </c>
      <c r="M13" s="61" t="s">
        <v>10</v>
      </c>
      <c r="N13" s="61"/>
      <c r="O13" s="61" t="s">
        <v>35</v>
      </c>
      <c r="P13" s="61" t="s">
        <v>34</v>
      </c>
    </row>
    <row r="14" spans="1:16" x14ac:dyDescent="0.3">
      <c r="A14" s="6" t="s">
        <v>69</v>
      </c>
      <c r="B14" s="18">
        <f>-1*'Table S9'!B12*B$3</f>
        <v>4.9841714071124914E-2</v>
      </c>
      <c r="C14" s="18">
        <f>-1*'Table S9'!C12*C$3</f>
        <v>-6.1677627171487295E-3</v>
      </c>
      <c r="D14" s="18">
        <f>-1*'Table S9'!D12*D$3</f>
        <v>2.8718761528931495E-2</v>
      </c>
      <c r="E14" s="18">
        <f>-1*'Table S9'!E12*E$3</f>
        <v>5.8431100596109939E-2</v>
      </c>
      <c r="F14" s="18"/>
      <c r="G14" s="18">
        <f>-1*'Table S9'!G12*G$3</f>
        <v>3.9549777131942347E-2</v>
      </c>
      <c r="H14" s="18">
        <f>-1*'Table S9'!H12*H$3</f>
        <v>6.9353933939409279E-2</v>
      </c>
      <c r="I14" s="18">
        <f>-1*'Table S9'!I12*I$3</f>
        <v>4.3729788232310655E-2</v>
      </c>
      <c r="J14" s="18"/>
      <c r="K14" s="18">
        <f>-1*'Table S9'!K12*K$3</f>
        <v>8.3225863915751916E-2</v>
      </c>
      <c r="L14" s="18">
        <f>-1*'Table S9'!L12*L$3</f>
        <v>1.6380882957465936E-2</v>
      </c>
      <c r="M14" s="18">
        <f>-1*'Table S9'!M12*M$3</f>
        <v>6.3562933365320762E-2</v>
      </c>
      <c r="O14" s="18">
        <f t="shared" ref="O14:O19" si="4">AVERAGE(B14:E14)</f>
        <v>3.2705953369754404E-2</v>
      </c>
      <c r="P14" s="19">
        <f t="shared" ref="P14:P19" si="5">AVERAGE(B14:M14)</f>
        <v>4.4662699302121849E-2</v>
      </c>
    </row>
    <row r="15" spans="1:16" x14ac:dyDescent="0.3">
      <c r="A15" s="6" t="s">
        <v>70</v>
      </c>
      <c r="B15" s="18">
        <f>-1*'Table S9'!B13*B$3</f>
        <v>4.3226138761461606E-2</v>
      </c>
      <c r="C15" s="18">
        <f>-1*'Table S9'!C13*C$3</f>
        <v>-8.17414336007663E-3</v>
      </c>
      <c r="D15" s="18">
        <f>-1*'Table S9'!D13*D$3</f>
        <v>1.5378364016272001E-2</v>
      </c>
      <c r="E15" s="18">
        <f>-1*'Table S9'!E13*E$3</f>
        <v>2.8914556238691904E-2</v>
      </c>
      <c r="F15" s="18"/>
      <c r="G15" s="18">
        <f>-1*'Table S9'!G13*G$3</f>
        <v>2.6446920982885761E-2</v>
      </c>
      <c r="H15" s="18">
        <f>-1*'Table S9'!H13*H$3</f>
        <v>7.0354640763810955E-2</v>
      </c>
      <c r="I15" s="18">
        <f>-1*'Table S9'!I13*I$3</f>
        <v>5.4636235020450279E-2</v>
      </c>
      <c r="J15" s="18"/>
      <c r="K15" s="18">
        <f>-1*'Table S9'!K13*K$3</f>
        <v>7.3252319360347817E-2</v>
      </c>
      <c r="L15" s="18">
        <f>-1*'Table S9'!L13*L$3</f>
        <v>1.3610798291902943E-2</v>
      </c>
      <c r="M15" s="18">
        <f>-1*'Table S9'!M13*M$3</f>
        <v>6.1996432034626854E-2</v>
      </c>
      <c r="O15" s="18">
        <f t="shared" si="4"/>
        <v>1.983622891408722E-2</v>
      </c>
      <c r="P15" s="19">
        <f t="shared" si="5"/>
        <v>3.7964226211037351E-2</v>
      </c>
    </row>
    <row r="16" spans="1:16" x14ac:dyDescent="0.3">
      <c r="A16" s="6" t="s">
        <v>71</v>
      </c>
      <c r="B16" s="18">
        <f>-1*'Table S9'!B14*B$3</f>
        <v>6.0629260416220493E-2</v>
      </c>
      <c r="C16" s="18">
        <f>-1*'Table S9'!C14*C$3</f>
        <v>5.6056449145893581E-3</v>
      </c>
      <c r="D16" s="18">
        <f>-1*'Table S9'!D14*D$3</f>
        <v>3.0938724889947498E-2</v>
      </c>
      <c r="E16" s="18">
        <f>-1*'Table S9'!E14*E$3</f>
        <v>6.4097166844200346E-2</v>
      </c>
      <c r="F16" s="18"/>
      <c r="G16" s="18">
        <f>-1*'Table S9'!G14*G$3</f>
        <v>4.2286480824165203E-2</v>
      </c>
      <c r="H16" s="18">
        <f>-1*'Table S9'!H14*H$3</f>
        <v>6.5190749864062522E-2</v>
      </c>
      <c r="I16" s="18">
        <f>-1*'Table S9'!I14*I$3</f>
        <v>4.0898376569337945E-2</v>
      </c>
      <c r="J16" s="18"/>
      <c r="K16" s="18">
        <f>-1*'Table S9'!K14*K$3</f>
        <v>6.6593898227690448E-2</v>
      </c>
      <c r="L16" s="18">
        <f>-1*'Table S9'!L14*L$3</f>
        <v>3.1037462445724931E-2</v>
      </c>
      <c r="M16" s="18">
        <f>-1*'Table S9'!M14*M$3</f>
        <v>5.7550271189057589E-2</v>
      </c>
      <c r="O16" s="18">
        <f t="shared" si="4"/>
        <v>4.0317699266239418E-2</v>
      </c>
      <c r="P16" s="19">
        <f t="shared" si="5"/>
        <v>4.648280361849963E-2</v>
      </c>
    </row>
    <row r="17" spans="1:16" x14ac:dyDescent="0.3">
      <c r="A17" s="6" t="s">
        <v>72</v>
      </c>
      <c r="B17" s="18">
        <f>-1*'Table S9'!B15*B$3</f>
        <v>4.0385079699832412E-2</v>
      </c>
      <c r="C17" s="18">
        <f>-1*'Table S9'!C15*C$3</f>
        <v>-1.1934109376973619E-2</v>
      </c>
      <c r="D17" s="18">
        <f>-1*'Table S9'!D15*D$3</f>
        <v>1.0843934127528466E-2</v>
      </c>
      <c r="E17" s="18">
        <f>-1*'Table S9'!E15*E$3</f>
        <v>4.3861530107574209E-2</v>
      </c>
      <c r="F17" s="18"/>
      <c r="G17" s="18">
        <f>-1*'Table S9'!G15*G$3</f>
        <v>2.9987280403380383E-2</v>
      </c>
      <c r="H17" s="18">
        <f>-1*'Table S9'!H15*H$3</f>
        <v>5.2889981964815425E-2</v>
      </c>
      <c r="I17" s="18">
        <f>-1*'Table S9'!I15*I$3</f>
        <v>3.4653268274860878E-2</v>
      </c>
      <c r="J17" s="18"/>
      <c r="K17" s="18">
        <f>-1*'Table S9'!K15*K$3</f>
        <v>2.6289498646072194E-2</v>
      </c>
      <c r="L17" s="18">
        <f>-1*'Table S9'!L15*L$3</f>
        <v>1.2901413189572454E-2</v>
      </c>
      <c r="M17" s="18">
        <f>-1*'Table S9'!M15*M$3</f>
        <v>5.1357758776726381E-2</v>
      </c>
      <c r="O17" s="18">
        <f t="shared" si="4"/>
        <v>2.0789108639490367E-2</v>
      </c>
      <c r="P17" s="19">
        <f t="shared" si="5"/>
        <v>2.912356358133892E-2</v>
      </c>
    </row>
    <row r="18" spans="1:16" x14ac:dyDescent="0.3">
      <c r="A18" s="6" t="s">
        <v>73</v>
      </c>
      <c r="B18" s="18">
        <f>-1*'Table S9'!B16*B$3</f>
        <v>4.2203563127180904E-2</v>
      </c>
      <c r="C18" s="18">
        <f>-1*'Table S9'!C16*C$3</f>
        <v>-1.6141361590309901E-4</v>
      </c>
      <c r="D18" s="18">
        <f>-1*'Table S9'!D16*D$3</f>
        <v>2.5223822004230487E-2</v>
      </c>
      <c r="E18" s="18">
        <f>-1*'Table S9'!E16*E$3</f>
        <v>6.8258097275155388E-2</v>
      </c>
      <c r="F18" s="18"/>
      <c r="G18" s="18"/>
      <c r="H18" s="18"/>
      <c r="I18" s="18"/>
      <c r="J18" s="18"/>
      <c r="K18" s="18"/>
      <c r="L18" s="18"/>
      <c r="M18" s="18"/>
      <c r="N18" s="2"/>
      <c r="O18" s="18">
        <f t="shared" si="4"/>
        <v>3.3881017197665925E-2</v>
      </c>
      <c r="P18" s="19">
        <f t="shared" si="5"/>
        <v>3.3881017197665925E-2</v>
      </c>
    </row>
    <row r="19" spans="1:16" x14ac:dyDescent="0.3">
      <c r="A19" s="6" t="s">
        <v>74</v>
      </c>
      <c r="B19" s="18">
        <f>-1*'Table S9'!B17*B$3</f>
        <v>2.500871417101223E-2</v>
      </c>
      <c r="C19" s="18">
        <f>-1*'Table S9'!C17*C$3</f>
        <v>5.1891223836457367E-3</v>
      </c>
      <c r="D19" s="18">
        <f>-1*'Table S9'!D17*D$3</f>
        <v>2.0946498611713701E-2</v>
      </c>
      <c r="E19" s="18">
        <f>-1*'Table S9'!E17*E$3</f>
        <v>6.7187264031553048E-2</v>
      </c>
      <c r="F19" s="18"/>
      <c r="G19" s="18"/>
      <c r="H19" s="18"/>
      <c r="I19" s="18"/>
      <c r="J19" s="18"/>
      <c r="K19" s="18"/>
      <c r="L19" s="18"/>
      <c r="M19" s="18"/>
      <c r="N19" s="2"/>
      <c r="O19" s="18">
        <f t="shared" si="4"/>
        <v>2.9582899799481178E-2</v>
      </c>
      <c r="P19" s="19">
        <f t="shared" si="5"/>
        <v>2.9582899799481178E-2</v>
      </c>
    </row>
    <row r="20" spans="1:16" x14ac:dyDescent="0.3">
      <c r="B20" s="18"/>
      <c r="C20" s="18"/>
      <c r="D20" s="18"/>
      <c r="E20" s="18"/>
      <c r="F20" s="18"/>
      <c r="G20" s="18"/>
      <c r="H20" s="18"/>
      <c r="I20" s="18"/>
      <c r="J20" s="18"/>
      <c r="K20" s="18"/>
      <c r="L20" s="18"/>
      <c r="M20" s="18"/>
      <c r="N20" s="2"/>
      <c r="O20" s="18"/>
      <c r="P20" s="19"/>
    </row>
    <row r="21" spans="1:16" s="3" customFormat="1" ht="43.2" x14ac:dyDescent="0.3">
      <c r="A21" s="23" t="s">
        <v>85</v>
      </c>
      <c r="B21" s="61" t="s">
        <v>0</v>
      </c>
      <c r="C21" s="61" t="s">
        <v>1</v>
      </c>
      <c r="D21" s="61" t="s">
        <v>2</v>
      </c>
      <c r="E21" s="61" t="s">
        <v>3</v>
      </c>
      <c r="F21" s="61"/>
      <c r="G21" s="61" t="s">
        <v>4</v>
      </c>
      <c r="H21" s="61" t="s">
        <v>5</v>
      </c>
      <c r="I21" s="61" t="s">
        <v>6</v>
      </c>
      <c r="J21" s="61" t="s">
        <v>7</v>
      </c>
      <c r="K21" s="61" t="s">
        <v>8</v>
      </c>
      <c r="L21" s="61" t="s">
        <v>9</v>
      </c>
      <c r="M21" s="61" t="s">
        <v>10</v>
      </c>
      <c r="N21" s="61"/>
      <c r="O21" s="61" t="s">
        <v>35</v>
      </c>
      <c r="P21" s="61" t="s">
        <v>34</v>
      </c>
    </row>
    <row r="22" spans="1:16" x14ac:dyDescent="0.3">
      <c r="A22" s="6" t="s">
        <v>69</v>
      </c>
      <c r="B22" s="18">
        <f>-1*'Table S9'!B20*B$3</f>
        <v>2.3127005931081118E-2</v>
      </c>
      <c r="C22" s="18">
        <f>-1*'Table S9'!C20*C$3</f>
        <v>2.9174390530931217E-2</v>
      </c>
      <c r="D22" s="18">
        <f>-1*'Table S9'!D20*D$3</f>
        <v>1.5970328375630196E-2</v>
      </c>
      <c r="E22" s="18">
        <f>-1*'Table S9'!E20*E$3</f>
        <v>1.9334567917937098E-2</v>
      </c>
      <c r="F22" s="18"/>
      <c r="G22" s="18">
        <f>-1*'Table S9'!G20*G$3</f>
        <v>1.0809957804450786E-2</v>
      </c>
      <c r="H22" s="18">
        <f>-1*'Table S9'!H20*H$3</f>
        <v>1.633629913361034E-2</v>
      </c>
      <c r="I22" s="18">
        <f>-1*'Table S9'!I20*I$3</f>
        <v>2.0074275430324265E-2</v>
      </c>
      <c r="J22" s="18">
        <f>-1*'Table S9'!J20*J$3</f>
        <v>1.8602135343803894E-2</v>
      </c>
      <c r="K22" s="18">
        <f>-1*'Table S9'!K20*K$3</f>
        <v>1.4553173100813315E-2</v>
      </c>
      <c r="L22" s="18">
        <f>-1*'Table S9'!L20*L$3</f>
        <v>1.4348404736506766E-2</v>
      </c>
      <c r="M22" s="18">
        <f>-1*'Table S9'!M20*M$3</f>
        <v>2.0350740902034235E-2</v>
      </c>
      <c r="O22" s="18">
        <f t="shared" ref="O22:O27" si="6">AVERAGE(B22:E22)</f>
        <v>2.1901573188894907E-2</v>
      </c>
      <c r="P22" s="19">
        <f t="shared" ref="P22:P27" si="7">AVERAGE(B22:M22)</f>
        <v>1.8425570837011202E-2</v>
      </c>
    </row>
    <row r="23" spans="1:16" x14ac:dyDescent="0.3">
      <c r="A23" s="6" t="s">
        <v>70</v>
      </c>
      <c r="B23" s="18">
        <f>-1*'Table S9'!B21*B$3</f>
        <v>2.250164773896568E-2</v>
      </c>
      <c r="C23" s="18">
        <f>-1*'Table S9'!C21*C$3</f>
        <v>2.7851610765590517E-2</v>
      </c>
      <c r="D23" s="18">
        <f>-1*'Table S9'!D21*D$3</f>
        <v>1.6547562357379943E-2</v>
      </c>
      <c r="E23" s="18">
        <f>-1*'Table S9'!E21*E$3</f>
        <v>1.739291198997138E-2</v>
      </c>
      <c r="F23" s="18"/>
      <c r="G23" s="18">
        <f>-1*'Table S9'!G21*G$3</f>
        <v>6.8153318491179478E-3</v>
      </c>
      <c r="H23" s="18">
        <f>-1*'Table S9'!H21*H$3</f>
        <v>1.6385867204183977E-2</v>
      </c>
      <c r="I23" s="18">
        <f>-1*'Table S9'!I21*I$3</f>
        <v>1.9723747481809308E-2</v>
      </c>
      <c r="J23" s="18">
        <f>-1*'Table S9'!J21*J$3</f>
        <v>1.8441750467316956E-2</v>
      </c>
      <c r="K23" s="18">
        <f>-1*'Table S9'!K21*K$3</f>
        <v>1.4815035819633076E-2</v>
      </c>
      <c r="L23" s="18">
        <f>-1*'Table S9'!L21*L$3</f>
        <v>1.4574224365572498E-2</v>
      </c>
      <c r="M23" s="18">
        <f>-1*'Table S9'!M21*M$3</f>
        <v>2.0319559844939647E-2</v>
      </c>
      <c r="O23" s="18">
        <f t="shared" si="6"/>
        <v>2.1073433212976882E-2</v>
      </c>
      <c r="P23" s="19">
        <f t="shared" si="7"/>
        <v>1.7760840898589172E-2</v>
      </c>
    </row>
    <row r="24" spans="1:16" x14ac:dyDescent="0.3">
      <c r="A24" s="6" t="s">
        <v>71</v>
      </c>
      <c r="B24" s="18">
        <f>-1*'Table S9'!B22*B$3</f>
        <v>2.0922911507867147E-2</v>
      </c>
      <c r="C24" s="18">
        <f>-1*'Table S9'!C22*C$3</f>
        <v>2.4754047690847703E-2</v>
      </c>
      <c r="D24" s="18">
        <f>-1*'Table S9'!D22*D$3</f>
        <v>1.5956712416848932E-2</v>
      </c>
      <c r="E24" s="18">
        <f>-1*'Table S9'!E22*E$3</f>
        <v>2.0678249525094825E-2</v>
      </c>
      <c r="F24" s="18"/>
      <c r="G24" s="18">
        <f>-1*'Table S9'!G22*G$3</f>
        <v>1.510596679589341E-2</v>
      </c>
      <c r="H24" s="18">
        <f>-1*'Table S9'!H22*H$3</f>
        <v>1.6128469533590623E-2</v>
      </c>
      <c r="I24" s="18">
        <f>-1*'Table S9'!I22*I$3</f>
        <v>1.840469798636616E-2</v>
      </c>
      <c r="J24" s="18">
        <f>-1*'Table S9'!J22*J$3</f>
        <v>1.7809570240472205E-2</v>
      </c>
      <c r="K24" s="18">
        <f>-1*'Table S9'!K22*K$3</f>
        <v>1.4877901794094326E-2</v>
      </c>
      <c r="L24" s="18">
        <f>-1*'Table S9'!L22*L$3</f>
        <v>1.4593531456436742E-2</v>
      </c>
      <c r="M24" s="18">
        <f>-1*'Table S9'!M22*M$3</f>
        <v>1.7998675020825531E-2</v>
      </c>
      <c r="O24" s="18">
        <f t="shared" si="6"/>
        <v>2.0577980285164651E-2</v>
      </c>
      <c r="P24" s="19">
        <f t="shared" si="7"/>
        <v>1.7930066724394324E-2</v>
      </c>
    </row>
    <row r="25" spans="1:16" x14ac:dyDescent="0.3">
      <c r="A25" s="6" t="s">
        <v>72</v>
      </c>
      <c r="B25" s="18">
        <f>-1*'Table S9'!B23*B$3</f>
        <v>2.1440880673607148E-2</v>
      </c>
      <c r="C25" s="18">
        <f>-1*'Table S9'!C23*C$3</f>
        <v>2.530229272946655E-2</v>
      </c>
      <c r="D25" s="18">
        <f>-1*'Table S9'!D23*D$3</f>
        <v>1.62789865564128E-2</v>
      </c>
      <c r="E25" s="18">
        <f>-1*'Table S9'!E23*E$3</f>
        <v>2.0618355200587142E-2</v>
      </c>
      <c r="F25" s="18"/>
      <c r="G25" s="18">
        <f>-1*'Table S9'!G23*G$3</f>
        <v>1.2739256532719252E-2</v>
      </c>
      <c r="H25" s="18">
        <f>-1*'Table S9'!H23*H$3</f>
        <v>1.573672359874308E-2</v>
      </c>
      <c r="I25" s="18">
        <f>-1*'Table S9'!I23*I$3</f>
        <v>1.9292591128250752E-2</v>
      </c>
      <c r="J25" s="18">
        <f>-1*'Table S9'!J23*J$3</f>
        <v>1.8047346139384045E-2</v>
      </c>
      <c r="K25" s="18">
        <f>-1*'Table S9'!K23*K$3</f>
        <v>1.49369790251504E-2</v>
      </c>
      <c r="L25" s="18">
        <f>-1*'Table S9'!L23*L$3</f>
        <v>1.3846562319079117E-2</v>
      </c>
      <c r="M25" s="18">
        <f>-1*'Table S9'!M23*M$3</f>
        <v>1.917390756401877E-2</v>
      </c>
      <c r="O25" s="18">
        <f t="shared" si="6"/>
        <v>2.0910128790018412E-2</v>
      </c>
      <c r="P25" s="19">
        <f t="shared" si="7"/>
        <v>1.7946716497038096E-2</v>
      </c>
    </row>
    <row r="26" spans="1:16" x14ac:dyDescent="0.3">
      <c r="A26" s="6" t="s">
        <v>73</v>
      </c>
      <c r="B26" s="18">
        <f>-1*'Table S9'!B24*B$3</f>
        <v>2.2138157107316477E-2</v>
      </c>
      <c r="C26" s="18">
        <f>-1*'Table S9'!C24*C$3</f>
        <v>2.59723964477514E-2</v>
      </c>
      <c r="D26" s="18">
        <f>-1*'Table S9'!D24*D$3</f>
        <v>1.6508026311526015E-2</v>
      </c>
      <c r="E26" s="18">
        <f>-1*'Table S9'!E24*E$3</f>
        <v>2.0383139426824282E-2</v>
      </c>
      <c r="F26" s="18"/>
      <c r="G26" s="18"/>
      <c r="H26" s="18"/>
      <c r="I26" s="18"/>
      <c r="J26" s="18"/>
      <c r="K26" s="18"/>
      <c r="L26" s="18"/>
      <c r="M26" s="18"/>
      <c r="N26" s="2"/>
      <c r="O26" s="18">
        <f t="shared" si="6"/>
        <v>2.1250429823354542E-2</v>
      </c>
      <c r="P26" s="19">
        <f t="shared" si="7"/>
        <v>2.1250429823354542E-2</v>
      </c>
    </row>
    <row r="27" spans="1:16" x14ac:dyDescent="0.3">
      <c r="A27" s="6" t="s">
        <v>74</v>
      </c>
      <c r="B27" s="18">
        <f>-1*'Table S9'!B25*B$3</f>
        <v>1.378867160923662E-2</v>
      </c>
      <c r="C27" s="18">
        <f>-1*'Table S9'!C25*C$3</f>
        <v>1.9942187915564218E-2</v>
      </c>
      <c r="D27" s="18">
        <f>-1*'Table S9'!D25*D$3</f>
        <v>1.0179011558403525E-2</v>
      </c>
      <c r="E27" s="18">
        <f>-1*'Table S9'!E25*E$3</f>
        <v>1.3826745357929698E-2</v>
      </c>
      <c r="F27" s="18"/>
      <c r="G27" s="18"/>
      <c r="H27" s="18"/>
      <c r="I27" s="18"/>
      <c r="J27" s="18"/>
      <c r="K27" s="18"/>
      <c r="L27" s="18"/>
      <c r="M27" s="18"/>
      <c r="N27" s="2"/>
      <c r="O27" s="18">
        <f t="shared" si="6"/>
        <v>1.4434154110283516E-2</v>
      </c>
      <c r="P27" s="19">
        <f t="shared" si="7"/>
        <v>1.4434154110283516E-2</v>
      </c>
    </row>
    <row r="29" spans="1:16" x14ac:dyDescent="0.3">
      <c r="A29" s="6" t="s">
        <v>29</v>
      </c>
      <c r="B29" t="s">
        <v>151</v>
      </c>
    </row>
    <row r="30" spans="1:16" x14ac:dyDescent="0.3">
      <c r="B30" t="s">
        <v>102</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A22" sqref="A22"/>
    </sheetView>
  </sheetViews>
  <sheetFormatPr defaultRowHeight="14.4" x14ac:dyDescent="0.3"/>
  <sheetData>
    <row r="22" spans="1:2" x14ac:dyDescent="0.3">
      <c r="A22" s="3" t="s">
        <v>29</v>
      </c>
      <c r="B22" t="s">
        <v>140</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O11" sqref="O11"/>
    </sheetView>
  </sheetViews>
  <sheetFormatPr defaultRowHeight="14.4" x14ac:dyDescent="0.3"/>
  <sheetData>
    <row r="22" spans="1:2" x14ac:dyDescent="0.3">
      <c r="A22" s="3" t="s">
        <v>29</v>
      </c>
      <c r="B22" t="s">
        <v>141</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B22" sqref="B22"/>
    </sheetView>
  </sheetViews>
  <sheetFormatPr defaultRowHeight="14.4" x14ac:dyDescent="0.3"/>
  <sheetData>
    <row r="22" spans="1:2" x14ac:dyDescent="0.3">
      <c r="A22" s="3" t="s">
        <v>29</v>
      </c>
      <c r="B22" t="s">
        <v>142</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topLeftCell="A10" workbookViewId="0">
      <selection activeCell="B26" sqref="B26"/>
    </sheetView>
  </sheetViews>
  <sheetFormatPr defaultRowHeight="14.4" x14ac:dyDescent="0.3"/>
  <cols>
    <col min="4" max="4" width="12.21875" bestFit="1" customWidth="1"/>
    <col min="6" max="6" width="14" customWidth="1"/>
    <col min="7" max="7" width="17.109375" customWidth="1"/>
  </cols>
  <sheetData>
    <row r="1" spans="1:13" x14ac:dyDescent="0.3">
      <c r="A1" s="3" t="s">
        <v>136</v>
      </c>
    </row>
    <row r="2" spans="1:13" ht="15" thickBot="1" x14ac:dyDescent="0.35"/>
    <row r="3" spans="1:13" s="15" customFormat="1" ht="15" thickBot="1" x14ac:dyDescent="0.35">
      <c r="A3" s="33"/>
      <c r="B3" s="34" t="s">
        <v>89</v>
      </c>
      <c r="C3" s="35"/>
      <c r="D3" s="36" t="s">
        <v>90</v>
      </c>
      <c r="E3" s="37"/>
      <c r="F3" s="36" t="s">
        <v>98</v>
      </c>
      <c r="G3" s="37"/>
      <c r="H3" s="34" t="s">
        <v>99</v>
      </c>
      <c r="I3" s="35"/>
    </row>
    <row r="4" spans="1:13" s="15" customFormat="1" ht="16.2" thickBot="1" x14ac:dyDescent="0.35">
      <c r="A4" s="38"/>
      <c r="B4" s="39" t="s">
        <v>135</v>
      </c>
      <c r="C4" s="40" t="s">
        <v>91</v>
      </c>
      <c r="D4" s="41" t="s">
        <v>135</v>
      </c>
      <c r="E4" s="40" t="s">
        <v>91</v>
      </c>
      <c r="F4" s="41" t="s">
        <v>100</v>
      </c>
      <c r="G4" s="40" t="s">
        <v>91</v>
      </c>
      <c r="H4" s="39" t="s">
        <v>101</v>
      </c>
      <c r="I4" s="40" t="s">
        <v>91</v>
      </c>
    </row>
    <row r="5" spans="1:13" s="15" customFormat="1" ht="43.8" thickBot="1" x14ac:dyDescent="0.35">
      <c r="A5" s="42" t="s">
        <v>92</v>
      </c>
      <c r="B5" s="43">
        <v>-19.38</v>
      </c>
      <c r="C5" s="40">
        <v>-14.6</v>
      </c>
      <c r="D5" s="41">
        <v>-0.83</v>
      </c>
      <c r="E5" s="44">
        <v>-23.2</v>
      </c>
      <c r="F5" s="41">
        <v>-73.38</v>
      </c>
      <c r="G5" s="40">
        <v>-12.9</v>
      </c>
      <c r="H5" s="39">
        <v>-15.65</v>
      </c>
      <c r="I5" s="40">
        <v>-9.9</v>
      </c>
    </row>
    <row r="6" spans="1:13" s="15" customFormat="1" ht="29.4" thickBot="1" x14ac:dyDescent="0.35">
      <c r="A6" s="42" t="s">
        <v>93</v>
      </c>
      <c r="B6" s="43">
        <v>-2.65</v>
      </c>
      <c r="C6" s="40">
        <v>-15.8</v>
      </c>
      <c r="D6" s="41">
        <v>-0.23</v>
      </c>
      <c r="E6" s="44">
        <v>-23.4</v>
      </c>
      <c r="F6" s="41">
        <v>-6.09</v>
      </c>
      <c r="G6" s="40">
        <v>-18.100000000000001</v>
      </c>
      <c r="H6" s="39">
        <v>-1.71</v>
      </c>
      <c r="I6" s="40">
        <v>-10.7</v>
      </c>
    </row>
    <row r="7" spans="1:13" s="15" customFormat="1" ht="43.8" thickBot="1" x14ac:dyDescent="0.35">
      <c r="A7" s="42" t="s">
        <v>94</v>
      </c>
      <c r="B7" s="43">
        <v>-2.5499999999999998</v>
      </c>
      <c r="C7" s="40">
        <v>-18.7</v>
      </c>
      <c r="D7" s="41">
        <v>-0.23</v>
      </c>
      <c r="E7" s="44">
        <v>-23.1</v>
      </c>
      <c r="F7" s="41">
        <v>-7.49</v>
      </c>
      <c r="G7" s="40">
        <v>-14</v>
      </c>
      <c r="H7" s="39">
        <v>-1.56</v>
      </c>
      <c r="I7" s="40">
        <v>-12.3</v>
      </c>
    </row>
    <row r="8" spans="1:13" s="15" customFormat="1" ht="29.4" thickBot="1" x14ac:dyDescent="0.35">
      <c r="A8" s="42" t="s">
        <v>95</v>
      </c>
      <c r="B8" s="43">
        <v>-3.78</v>
      </c>
      <c r="C8" s="40">
        <v>-16.5</v>
      </c>
      <c r="D8" s="41">
        <v>-0.02</v>
      </c>
      <c r="E8" s="44">
        <v>-23</v>
      </c>
      <c r="F8" s="41">
        <v>-16.760000000000002</v>
      </c>
      <c r="G8" s="40">
        <v>-16.100000000000001</v>
      </c>
      <c r="H8" s="39">
        <v>-4.34</v>
      </c>
      <c r="I8" s="40">
        <v>-16.100000000000001</v>
      </c>
    </row>
    <row r="9" spans="1:13" s="15" customFormat="1" ht="29.4" thickBot="1" x14ac:dyDescent="0.35">
      <c r="A9" s="42" t="s">
        <v>96</v>
      </c>
      <c r="B9" s="43">
        <v>-4.4000000000000004</v>
      </c>
      <c r="C9" s="40">
        <v>-11.8</v>
      </c>
      <c r="D9" s="41">
        <v>-0.08</v>
      </c>
      <c r="E9" s="44">
        <v>-22.9</v>
      </c>
      <c r="F9" s="41">
        <v>-24.58</v>
      </c>
      <c r="G9" s="40">
        <v>-12.5</v>
      </c>
      <c r="H9" s="39">
        <v>-2.41</v>
      </c>
      <c r="I9" s="40">
        <v>-6.5</v>
      </c>
    </row>
    <row r="10" spans="1:13" s="15" customFormat="1" ht="58.2" thickBot="1" x14ac:dyDescent="0.35">
      <c r="A10" s="42" t="s">
        <v>97</v>
      </c>
      <c r="B10" s="43">
        <v>-6</v>
      </c>
      <c r="C10" s="40">
        <v>-14.3</v>
      </c>
      <c r="D10" s="41">
        <v>-0.28000000000000003</v>
      </c>
      <c r="E10" s="44">
        <v>-23.1</v>
      </c>
      <c r="F10" s="41">
        <v>-18.46</v>
      </c>
      <c r="G10" s="40">
        <v>-18.5</v>
      </c>
      <c r="H10" s="39">
        <v>-5.63</v>
      </c>
      <c r="I10" s="40">
        <v>-8.6</v>
      </c>
    </row>
    <row r="11" spans="1:13" s="15" customFormat="1" x14ac:dyDescent="0.3">
      <c r="A11" s="45"/>
      <c r="B11" s="46"/>
      <c r="C11" s="47"/>
      <c r="D11" s="48"/>
      <c r="E11" s="49"/>
      <c r="F11" s="48"/>
      <c r="G11" s="47"/>
      <c r="H11" s="50"/>
      <c r="I11" s="47"/>
    </row>
    <row r="12" spans="1:13" s="15" customFormat="1" x14ac:dyDescent="0.3">
      <c r="A12" s="54" t="s">
        <v>52</v>
      </c>
      <c r="B12" s="51" t="s">
        <v>134</v>
      </c>
      <c r="C12" s="47"/>
      <c r="D12" s="48"/>
      <c r="E12" s="49"/>
      <c r="F12" s="48"/>
      <c r="G12" s="47"/>
      <c r="H12" s="50"/>
      <c r="I12" s="47"/>
    </row>
    <row r="13" spans="1:13" s="15" customFormat="1" x14ac:dyDescent="0.3">
      <c r="A13" s="45"/>
      <c r="B13" s="46"/>
      <c r="C13" s="47"/>
      <c r="D13" s="48"/>
      <c r="E13" s="49"/>
      <c r="F13" s="48"/>
      <c r="G13" s="47"/>
      <c r="H13" s="50"/>
      <c r="I13" s="47"/>
    </row>
    <row r="14" spans="1:13" s="15" customFormat="1" ht="15" customHeight="1" x14ac:dyDescent="0.3">
      <c r="A14" s="55" t="s">
        <v>137</v>
      </c>
      <c r="B14" s="55"/>
      <c r="C14" s="55"/>
      <c r="D14" s="55"/>
      <c r="E14" s="55"/>
      <c r="F14" s="55"/>
      <c r="G14" s="55"/>
      <c r="H14" s="55"/>
      <c r="I14" s="55"/>
      <c r="J14" s="55"/>
      <c r="K14" s="55"/>
      <c r="L14" s="55"/>
      <c r="M14" s="55"/>
    </row>
    <row r="15" spans="1:13" s="15" customFormat="1" ht="15" thickBot="1" x14ac:dyDescent="0.35"/>
    <row r="16" spans="1:13" s="15" customFormat="1" ht="15" thickBot="1" x14ac:dyDescent="0.35">
      <c r="A16" s="33"/>
      <c r="B16" s="34" t="s">
        <v>89</v>
      </c>
      <c r="C16" s="35"/>
      <c r="D16" s="36" t="s">
        <v>103</v>
      </c>
      <c r="E16" s="37"/>
      <c r="F16" s="57" t="s">
        <v>105</v>
      </c>
      <c r="G16" s="57" t="s">
        <v>104</v>
      </c>
    </row>
    <row r="17" spans="1:19" s="15" customFormat="1" ht="16.2" thickBot="1" x14ac:dyDescent="0.35">
      <c r="A17" s="38"/>
      <c r="B17" s="39" t="s">
        <v>135</v>
      </c>
      <c r="C17" s="40" t="s">
        <v>91</v>
      </c>
      <c r="D17" s="41" t="s">
        <v>135</v>
      </c>
      <c r="E17" s="40" t="s">
        <v>91</v>
      </c>
      <c r="F17" s="58" t="s">
        <v>135</v>
      </c>
      <c r="G17" s="58" t="s">
        <v>135</v>
      </c>
    </row>
    <row r="18" spans="1:19" s="15" customFormat="1" ht="43.8" thickBot="1" x14ac:dyDescent="0.35">
      <c r="A18" s="42" t="s">
        <v>92</v>
      </c>
      <c r="B18" s="43">
        <v>-19.38</v>
      </c>
      <c r="C18" s="40">
        <v>-14.6</v>
      </c>
      <c r="D18" s="52">
        <f>D5*C5/E5</f>
        <v>-0.52232758620689645</v>
      </c>
      <c r="E18" s="44">
        <f>C18</f>
        <v>-14.6</v>
      </c>
      <c r="F18" s="59">
        <f>B18+D18</f>
        <v>-19.902327586206894</v>
      </c>
      <c r="G18" s="60">
        <f>D5-D18</f>
        <v>-0.30767241379310351</v>
      </c>
    </row>
    <row r="19" spans="1:19" s="15" customFormat="1" ht="29.4" thickBot="1" x14ac:dyDescent="0.35">
      <c r="A19" s="42" t="s">
        <v>93</v>
      </c>
      <c r="B19" s="43">
        <v>-2.65</v>
      </c>
      <c r="C19" s="40">
        <v>-15.8</v>
      </c>
      <c r="D19" s="52">
        <f>D6*C6/E6</f>
        <v>-0.15529914529914532</v>
      </c>
      <c r="E19" s="44">
        <f t="shared" ref="E19:E23" si="0">C19</f>
        <v>-15.8</v>
      </c>
      <c r="F19" s="59">
        <f t="shared" ref="F19:F23" si="1">B19+D19</f>
        <v>-2.8052991452991454</v>
      </c>
      <c r="G19" s="60">
        <f>D6-D19</f>
        <v>-7.4700854700854691E-2</v>
      </c>
    </row>
    <row r="20" spans="1:19" s="15" customFormat="1" ht="43.8" thickBot="1" x14ac:dyDescent="0.35">
      <c r="A20" s="42" t="s">
        <v>94</v>
      </c>
      <c r="B20" s="43">
        <v>-2.5499999999999998</v>
      </c>
      <c r="C20" s="40">
        <v>-18.7</v>
      </c>
      <c r="D20" s="52">
        <f>D7*C7/E7</f>
        <v>-0.18619047619047618</v>
      </c>
      <c r="E20" s="44">
        <f t="shared" si="0"/>
        <v>-18.7</v>
      </c>
      <c r="F20" s="59">
        <f t="shared" si="1"/>
        <v>-2.7361904761904761</v>
      </c>
      <c r="G20" s="60">
        <f>D7-D20</f>
        <v>-4.3809523809523826E-2</v>
      </c>
    </row>
    <row r="21" spans="1:19" s="15" customFormat="1" ht="29.4" thickBot="1" x14ac:dyDescent="0.35">
      <c r="A21" s="42" t="s">
        <v>95</v>
      </c>
      <c r="B21" s="43">
        <v>-3.78</v>
      </c>
      <c r="C21" s="40">
        <v>-16.5</v>
      </c>
      <c r="D21" s="52">
        <f>D8*C8/E8</f>
        <v>-1.4347826086956523E-2</v>
      </c>
      <c r="E21" s="44">
        <f t="shared" si="0"/>
        <v>-16.5</v>
      </c>
      <c r="F21" s="59">
        <f t="shared" si="1"/>
        <v>-3.7943478260869563</v>
      </c>
      <c r="G21" s="60">
        <f>D8-D21</f>
        <v>-5.6521739130434775E-3</v>
      </c>
    </row>
    <row r="22" spans="1:19" s="15" customFormat="1" ht="29.4" thickBot="1" x14ac:dyDescent="0.35">
      <c r="A22" s="42" t="s">
        <v>96</v>
      </c>
      <c r="B22" s="43">
        <v>-4.4000000000000004</v>
      </c>
      <c r="C22" s="40">
        <v>-11.8</v>
      </c>
      <c r="D22" s="52">
        <f>D9*C9/E9</f>
        <v>-4.1222707423580793E-2</v>
      </c>
      <c r="E22" s="44">
        <f t="shared" si="0"/>
        <v>-11.8</v>
      </c>
      <c r="F22" s="59">
        <f t="shared" si="1"/>
        <v>-4.4412227074235808</v>
      </c>
      <c r="G22" s="60">
        <f>D9-D22</f>
        <v>-3.8777292576419209E-2</v>
      </c>
    </row>
    <row r="23" spans="1:19" s="15" customFormat="1" ht="58.2" thickBot="1" x14ac:dyDescent="0.35">
      <c r="A23" s="42" t="s">
        <v>97</v>
      </c>
      <c r="B23" s="43">
        <v>-6</v>
      </c>
      <c r="C23" s="40">
        <v>-14.3</v>
      </c>
      <c r="D23" s="52">
        <f>D10*C10/E10</f>
        <v>-0.17333333333333334</v>
      </c>
      <c r="E23" s="44">
        <f t="shared" si="0"/>
        <v>-14.3</v>
      </c>
      <c r="F23" s="59">
        <f t="shared" si="1"/>
        <v>-6.1733333333333338</v>
      </c>
      <c r="G23" s="60">
        <f>D10-D23</f>
        <v>-0.10666666666666669</v>
      </c>
    </row>
    <row r="24" spans="1:19" s="15" customFormat="1" x14ac:dyDescent="0.3"/>
    <row r="25" spans="1:19" s="15" customFormat="1" x14ac:dyDescent="0.3">
      <c r="A25" s="56" t="s">
        <v>29</v>
      </c>
      <c r="B25" s="53" t="s">
        <v>152</v>
      </c>
      <c r="C25" s="53"/>
      <c r="D25" s="53"/>
      <c r="E25" s="53"/>
      <c r="F25" s="53"/>
      <c r="G25" s="53"/>
      <c r="H25" s="53"/>
      <c r="I25" s="53"/>
      <c r="J25" s="53"/>
      <c r="K25" s="53"/>
      <c r="L25" s="53"/>
      <c r="M25" s="53"/>
      <c r="N25" s="53"/>
      <c r="O25" s="53"/>
      <c r="P25" s="53"/>
      <c r="Q25" s="53"/>
      <c r="R25" s="53"/>
      <c r="S25" s="53"/>
    </row>
    <row r="26" spans="1:19" s="15" customFormat="1" x14ac:dyDescent="0.3">
      <c r="B26" s="15" t="s">
        <v>153</v>
      </c>
    </row>
  </sheetData>
  <mergeCells count="10">
    <mergeCell ref="B25:S25"/>
    <mergeCell ref="A14:M14"/>
    <mergeCell ref="A3:A4"/>
    <mergeCell ref="B3:C3"/>
    <mergeCell ref="D3:E3"/>
    <mergeCell ref="F3:G3"/>
    <mergeCell ref="H3:I3"/>
    <mergeCell ref="A16:A17"/>
    <mergeCell ref="B16:C16"/>
    <mergeCell ref="D16:E16"/>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election activeCell="Q13" sqref="Q13"/>
    </sheetView>
  </sheetViews>
  <sheetFormatPr defaultRowHeight="14.4" x14ac:dyDescent="0.3"/>
  <cols>
    <col min="1" max="1" width="16" style="3" customWidth="1"/>
  </cols>
  <sheetData>
    <row r="1" spans="1:18" x14ac:dyDescent="0.3">
      <c r="A1" s="3" t="s">
        <v>110</v>
      </c>
    </row>
    <row r="3" spans="1:18" x14ac:dyDescent="0.3">
      <c r="A3" s="3" t="s">
        <v>108</v>
      </c>
      <c r="C3" s="28">
        <v>1.1200000000000001</v>
      </c>
      <c r="D3" s="24" t="s">
        <v>114</v>
      </c>
      <c r="E3" s="27">
        <v>0.21</v>
      </c>
      <c r="F3" t="s">
        <v>109</v>
      </c>
    </row>
    <row r="5" spans="1:18" s="3" customFormat="1" x14ac:dyDescent="0.3">
      <c r="A5" s="20" t="s">
        <v>83</v>
      </c>
      <c r="B5" s="3" t="s">
        <v>0</v>
      </c>
      <c r="C5" s="3" t="s">
        <v>1</v>
      </c>
      <c r="D5" s="3" t="s">
        <v>2</v>
      </c>
      <c r="E5" s="3" t="s">
        <v>3</v>
      </c>
      <c r="G5" s="3" t="s">
        <v>4</v>
      </c>
      <c r="H5" s="3" t="s">
        <v>5</v>
      </c>
      <c r="I5" s="3" t="s">
        <v>6</v>
      </c>
      <c r="J5" s="3" t="s">
        <v>7</v>
      </c>
      <c r="K5" s="3" t="s">
        <v>8</v>
      </c>
      <c r="L5" s="3" t="s">
        <v>9</v>
      </c>
      <c r="M5" s="3" t="s">
        <v>10</v>
      </c>
      <c r="O5" s="3" t="s">
        <v>35</v>
      </c>
      <c r="P5" s="6" t="s">
        <v>34</v>
      </c>
      <c r="Q5" s="3" t="s">
        <v>119</v>
      </c>
      <c r="R5" s="3" t="s">
        <v>120</v>
      </c>
    </row>
    <row r="6" spans="1:18" x14ac:dyDescent="0.3">
      <c r="A6" s="3" t="s">
        <v>69</v>
      </c>
      <c r="B6" s="7">
        <f>'Table S10'!B6*'Table S11ab'!$F19</f>
        <v>0.31036843737941622</v>
      </c>
      <c r="C6" s="7">
        <f>'Table S10'!C6*'Table S11ab'!$F19</f>
        <v>0.16632539056460019</v>
      </c>
      <c r="D6" s="7">
        <f>'Table S10'!D6*'Table S11ab'!$F19</f>
        <v>0.27933907678020181</v>
      </c>
      <c r="E6" s="7">
        <f>'Table S10'!E6*'Table S11ab'!$F19</f>
        <v>0.33529403657007595</v>
      </c>
      <c r="F6" s="7"/>
      <c r="G6" s="7">
        <f>'Table S10'!G6*'Table S11ab'!$F19</f>
        <v>0.28267361640870631</v>
      </c>
      <c r="H6" s="7">
        <f>'Table S10'!H6*'Table S11ab'!$F19</f>
        <v>0.3202411684291348</v>
      </c>
      <c r="I6" s="7">
        <f>'Table S10'!I6*'Table S11ab'!$F19</f>
        <v>0.38874876203613401</v>
      </c>
      <c r="J6" s="7">
        <f>'Table S10'!J6*'Table S11ab'!$F19</f>
        <v>0.33632088591459119</v>
      </c>
      <c r="K6" s="7"/>
      <c r="L6" s="7">
        <f>'Table S10'!L6*'Table S11ab'!$F19</f>
        <v>0.31493751063955089</v>
      </c>
      <c r="M6" s="7">
        <f>'Table S10'!M6*'Table S11ab'!$F19</f>
        <v>0.35756266995546043</v>
      </c>
      <c r="O6" s="18">
        <f t="shared" ref="O6" si="0">AVERAGE(B6:E6)</f>
        <v>0.27283173532357352</v>
      </c>
      <c r="P6" s="19">
        <f t="shared" ref="P6" si="1">AVERAGE(B6:M6)</f>
        <v>0.30918115546778713</v>
      </c>
      <c r="Q6" s="7">
        <f>STDEV(B6:E6)</f>
        <v>7.4602256545380732E-2</v>
      </c>
      <c r="R6" s="7">
        <f>STDEV(B6:M6)</f>
        <v>5.9859149946324845E-2</v>
      </c>
    </row>
    <row r="7" spans="1:18" x14ac:dyDescent="0.3">
      <c r="A7" s="3" t="s">
        <v>70</v>
      </c>
      <c r="B7" s="7">
        <f>'Table S10'!B7*'Table S11ab'!$F20</f>
        <v>0.45805152243583358</v>
      </c>
      <c r="C7" s="7">
        <f>'Table S10'!C7*'Table S11ab'!$F20</f>
        <v>0.28144210094088773</v>
      </c>
      <c r="D7" s="7">
        <f>'Table S10'!D7*'Table S11ab'!$F20</f>
        <v>0.44269585482192658</v>
      </c>
      <c r="E7" s="7">
        <f>'Table S10'!E7*'Table S11ab'!$F20</f>
        <v>0.47139142907606268</v>
      </c>
      <c r="F7" s="7"/>
      <c r="G7" s="7">
        <f>'Table S10'!G7*'Table S11ab'!$F20</f>
        <v>0.44867281044588836</v>
      </c>
      <c r="H7" s="7">
        <f>'Table S10'!H7*'Table S11ab'!$F20</f>
        <v>0.53889226818316771</v>
      </c>
      <c r="I7" s="7">
        <f>'Table S10'!I7*'Table S11ab'!$F20</f>
        <v>0.67860792268655612</v>
      </c>
      <c r="J7" s="7">
        <f>'Table S10'!J7*'Table S11ab'!$F20</f>
        <v>0.47432036164139701</v>
      </c>
      <c r="K7" s="7"/>
      <c r="L7" s="7">
        <f>'Table S10'!L7*'Table S11ab'!$F20</f>
        <v>0.47013048876254021</v>
      </c>
      <c r="M7" s="7">
        <f>'Table S10'!M7*'Table S11ab'!$F20</f>
        <v>0.67705408476630946</v>
      </c>
      <c r="O7" s="18">
        <f t="shared" ref="O7:O10" si="2">AVERAGE(B7:E7)</f>
        <v>0.41339522681867769</v>
      </c>
      <c r="P7" s="19">
        <f t="shared" ref="P7:P10" si="3">AVERAGE(B7:M7)</f>
        <v>0.49412588437605692</v>
      </c>
      <c r="Q7" s="7">
        <f t="shared" ref="Q7:R12" si="4">STDEV(B7:E7)</f>
        <v>8.8746640208387476E-2</v>
      </c>
      <c r="R7" s="7">
        <f t="shared" ref="R7:R12" si="5">STDEV(B7:M7)</f>
        <v>0.11653900275632112</v>
      </c>
    </row>
    <row r="8" spans="1:18" x14ac:dyDescent="0.3">
      <c r="A8" s="3" t="s">
        <v>71</v>
      </c>
      <c r="B8" s="7">
        <f>'Table S10'!B8*'Table S11ab'!$F21</f>
        <v>1.3673334414547793</v>
      </c>
      <c r="C8" s="7">
        <f>'Table S10'!C8*'Table S11ab'!$F21</f>
        <v>0.94733324159189136</v>
      </c>
      <c r="D8" s="7">
        <f>'Table S10'!D8*'Table S11ab'!$F21</f>
        <v>1.3435449715288128</v>
      </c>
      <c r="E8" s="7">
        <f>'Table S10'!E8*'Table S11ab'!$F21</f>
        <v>1.3747723749244618</v>
      </c>
      <c r="F8" s="7"/>
      <c r="G8" s="7">
        <f>'Table S10'!G8*'Table S11ab'!$F21</f>
        <v>0.93247951756904368</v>
      </c>
      <c r="H8" s="7">
        <f>'Table S10'!H8*'Table S11ab'!$F21</f>
        <v>0.93687662567606245</v>
      </c>
      <c r="I8" s="7">
        <f>'Table S10'!I8*'Table S11ab'!$F21</f>
        <v>1.5062198624838625</v>
      </c>
      <c r="J8" s="7">
        <f>'Table S10'!J8*'Table S11ab'!$F21</f>
        <v>1.0937361183828596</v>
      </c>
      <c r="K8" s="7"/>
      <c r="L8" s="7">
        <f>'Table S10'!L8*'Table S11ab'!$F21</f>
        <v>1.2853689000031434</v>
      </c>
      <c r="M8" s="7">
        <f>'Table S10'!M8*'Table S11ab'!$F21</f>
        <v>2.2277339254552655</v>
      </c>
      <c r="O8" s="18">
        <f t="shared" si="2"/>
        <v>1.2582460073749862</v>
      </c>
      <c r="P8" s="19">
        <f t="shared" si="3"/>
        <v>1.3015398979070181</v>
      </c>
      <c r="Q8" s="7">
        <f t="shared" si="4"/>
        <v>0.20770261097781081</v>
      </c>
      <c r="R8" s="7">
        <f t="shared" si="5"/>
        <v>0.38719455497533861</v>
      </c>
    </row>
    <row r="9" spans="1:18" x14ac:dyDescent="0.3">
      <c r="A9" s="3" t="s">
        <v>72</v>
      </c>
      <c r="B9" s="7">
        <f>'Table S10'!B9*'Table S11ab'!$F22</f>
        <v>0.75704880242013717</v>
      </c>
      <c r="C9" s="7">
        <f>'Table S10'!C9*'Table S11ab'!$F22</f>
        <v>0.39817401787132223</v>
      </c>
      <c r="D9" s="7">
        <f>'Table S10'!D9*'Table S11ab'!$F22</f>
        <v>0.88384491473952476</v>
      </c>
      <c r="E9" s="7">
        <f>'Table S10'!E9*'Table S11ab'!$F22</f>
        <v>0.83367369905622446</v>
      </c>
      <c r="F9" s="7"/>
      <c r="G9" s="7">
        <f>'Table S10'!G9*'Table S11ab'!$F22</f>
        <v>0.66718826212405991</v>
      </c>
      <c r="H9" s="7">
        <f>'Table S10'!H9*'Table S11ab'!$F22</f>
        <v>0.68679650115947399</v>
      </c>
      <c r="I9" s="7">
        <f>'Table S10'!I9*'Table S11ab'!$F22</f>
        <v>1.0488773016783726</v>
      </c>
      <c r="J9" s="7">
        <f>'Table S10'!J9*'Table S11ab'!$F22</f>
        <v>0.79991185998922265</v>
      </c>
      <c r="K9" s="7"/>
      <c r="L9" s="7">
        <f>'Table S10'!L9*'Table S11ab'!$F22</f>
        <v>0.67697252475637737</v>
      </c>
      <c r="M9" s="7">
        <f>'Table S10'!M9*'Table S11ab'!$F22</f>
        <v>1.1195858560984311</v>
      </c>
      <c r="O9" s="18">
        <f t="shared" si="2"/>
        <v>0.71818535852180221</v>
      </c>
      <c r="P9" s="19">
        <f t="shared" si="3"/>
        <v>0.78720737398931462</v>
      </c>
      <c r="Q9" s="7">
        <f t="shared" si="4"/>
        <v>0.21961957318827768</v>
      </c>
      <c r="R9" s="7">
        <f t="shared" si="5"/>
        <v>0.20534553216746546</v>
      </c>
    </row>
    <row r="10" spans="1:18" x14ac:dyDescent="0.3">
      <c r="A10" s="6" t="s">
        <v>74</v>
      </c>
      <c r="B10" s="7">
        <f>'Table S10'!B11*'Table S11ab'!$F23</f>
        <v>1.6671872443046263</v>
      </c>
      <c r="C10" s="7">
        <f>'Table S10'!C11*'Table S11ab'!$F23</f>
        <v>1.1593018911003266</v>
      </c>
      <c r="D10" s="7">
        <f>'Table S10'!D11*'Table S11ab'!$F23</f>
        <v>2.3429653366108387</v>
      </c>
      <c r="E10" s="7">
        <f>'Table S10'!E11*'Table S11ab'!$F23</f>
        <v>1.8158320021545153</v>
      </c>
      <c r="F10" s="17"/>
      <c r="O10" s="18">
        <f t="shared" si="2"/>
        <v>1.7463216185425767</v>
      </c>
      <c r="P10" s="19">
        <f t="shared" si="3"/>
        <v>1.7463216185425767</v>
      </c>
      <c r="Q10" s="7">
        <f t="shared" si="4"/>
        <v>0.48705572211421666</v>
      </c>
      <c r="R10" s="7">
        <f t="shared" si="5"/>
        <v>0.48705572211421666</v>
      </c>
    </row>
    <row r="11" spans="1:18" x14ac:dyDescent="0.3">
      <c r="A11" s="6" t="s">
        <v>107</v>
      </c>
      <c r="B11" s="17"/>
      <c r="C11" s="17"/>
      <c r="D11" s="17"/>
      <c r="E11" s="17"/>
      <c r="F11" s="17"/>
      <c r="O11" s="18">
        <f>-1*$C$3*'Table S11ab'!$G$18</f>
        <v>0.34459310344827598</v>
      </c>
      <c r="P11" s="18">
        <f>-1*$C$3*'Table S11ab'!$G$18</f>
        <v>0.34459310344827598</v>
      </c>
      <c r="Q11" s="7">
        <f>O11*$E$3/$C$3</f>
        <v>6.461120689655174E-2</v>
      </c>
      <c r="R11" s="7">
        <f>P11*$E$3/$C$3</f>
        <v>6.461120689655174E-2</v>
      </c>
    </row>
    <row r="12" spans="1:18" x14ac:dyDescent="0.3">
      <c r="A12" s="3" t="s">
        <v>106</v>
      </c>
      <c r="B12" s="26">
        <f>SUM(B6:B10)</f>
        <v>4.5599894479947922</v>
      </c>
      <c r="C12" s="26">
        <f>SUM(C6:C10)</f>
        <v>2.9525766420690278</v>
      </c>
      <c r="D12" s="26">
        <f>SUM(D6:D10)</f>
        <v>5.2923901544813052</v>
      </c>
      <c r="E12" s="26">
        <f>SUM(E6:E10)</f>
        <v>4.8309635417813404</v>
      </c>
      <c r="F12" s="25"/>
      <c r="G12" s="25"/>
      <c r="H12" s="25"/>
      <c r="I12" s="25"/>
      <c r="J12" s="25"/>
      <c r="K12" s="25"/>
      <c r="L12" s="25"/>
      <c r="M12" s="25"/>
      <c r="O12" s="18">
        <f>SUM(O6:O11)</f>
        <v>4.7535730500298925</v>
      </c>
      <c r="P12" s="18">
        <f>SUM(P6:P11)</f>
        <v>4.9829690337310302</v>
      </c>
      <c r="Q12" s="7">
        <f>(STDEV(B12:E12)^2+Q11^2)^0.5</f>
        <v>1.0189736714166859</v>
      </c>
      <c r="R12" s="7">
        <f>(STDEV(B12:M12)^2+R11^2)^0.5</f>
        <v>1.0189736714166859</v>
      </c>
    </row>
    <row r="14" spans="1:18" s="3" customFormat="1" x14ac:dyDescent="0.3">
      <c r="A14" s="20" t="s">
        <v>84</v>
      </c>
      <c r="B14" s="3" t="s">
        <v>0</v>
      </c>
      <c r="C14" s="3" t="s">
        <v>1</v>
      </c>
      <c r="D14" s="3" t="s">
        <v>2</v>
      </c>
      <c r="E14" s="3" t="s">
        <v>3</v>
      </c>
      <c r="G14" s="3" t="s">
        <v>4</v>
      </c>
      <c r="H14" s="3" t="s">
        <v>5</v>
      </c>
      <c r="I14" s="3" t="s">
        <v>6</v>
      </c>
      <c r="J14" s="3" t="s">
        <v>7</v>
      </c>
      <c r="K14" s="3" t="s">
        <v>8</v>
      </c>
      <c r="L14" s="3" t="s">
        <v>9</v>
      </c>
      <c r="M14" s="3" t="s">
        <v>10</v>
      </c>
      <c r="O14" s="3" t="s">
        <v>35</v>
      </c>
      <c r="P14" s="6" t="s">
        <v>34</v>
      </c>
      <c r="Q14" s="3" t="s">
        <v>119</v>
      </c>
      <c r="R14" s="3" t="s">
        <v>120</v>
      </c>
    </row>
    <row r="15" spans="1:18" x14ac:dyDescent="0.3">
      <c r="A15" s="3" t="s">
        <v>69</v>
      </c>
      <c r="B15" s="7">
        <f>'Table S10'!B14*'Table S11ab'!$H6</f>
        <v>-8.5229331061623601E-2</v>
      </c>
      <c r="C15" s="7">
        <f>'Table S10'!C14*'Table S11ab'!$H6</f>
        <v>1.0546874246324327E-2</v>
      </c>
      <c r="D15" s="7">
        <f>'Table S10'!D14*'Table S11ab'!$H6</f>
        <v>-4.9109082214472854E-2</v>
      </c>
      <c r="E15" s="7">
        <f>'Table S10'!E14*'Table S11ab'!$H6</f>
        <v>-9.9917182019347989E-2</v>
      </c>
      <c r="F15" s="7"/>
      <c r="G15" s="7">
        <f>'Table S10'!G14*'Table S11ab'!$H6</f>
        <v>-6.7630118895621413E-2</v>
      </c>
      <c r="H15" s="7">
        <f>'Table S10'!H14*'Table S11ab'!$H6</f>
        <v>-0.11859522703638986</v>
      </c>
      <c r="I15" s="7">
        <f>'Table S10'!I14*'Table S11ab'!$H6</f>
        <v>-7.4777937877251219E-2</v>
      </c>
      <c r="J15" s="7"/>
      <c r="K15" s="7">
        <f>'Table S10'!K14*'Table S11ab'!$H6</f>
        <v>-0.14231622729593577</v>
      </c>
      <c r="L15" s="7">
        <f>'Table S10'!L14*'Table S11ab'!$H6</f>
        <v>-2.8011309857266749E-2</v>
      </c>
      <c r="M15" s="7">
        <f>'Table S10'!M14*'Table S11ab'!$H6</f>
        <v>-0.1086926160546985</v>
      </c>
      <c r="O15" s="18">
        <f t="shared" ref="O15:O19" si="6">AVERAGE(B15:E15)</f>
        <v>-5.5927180262280031E-2</v>
      </c>
      <c r="P15" s="19">
        <f t="shared" ref="P15:P19" si="7">AVERAGE(B15:M15)</f>
        <v>-7.6373215806628356E-2</v>
      </c>
      <c r="Q15" s="7">
        <f>STDEV(B15:E15)</f>
        <v>4.919018425071113E-2</v>
      </c>
      <c r="R15" s="7">
        <f>STDEV(B15:M15)</f>
        <v>4.5368573789282142E-2</v>
      </c>
    </row>
    <row r="16" spans="1:18" x14ac:dyDescent="0.3">
      <c r="A16" s="3" t="s">
        <v>70</v>
      </c>
      <c r="B16" s="7">
        <f>'Table S10'!B15*'Table S11ab'!$H7</f>
        <v>-6.7432776467880109E-2</v>
      </c>
      <c r="C16" s="7">
        <f>'Table S10'!C15*'Table S11ab'!$H7</f>
        <v>1.2751663641719544E-2</v>
      </c>
      <c r="D16" s="7">
        <f>'Table S10'!D15*'Table S11ab'!$H7</f>
        <v>-2.3990247865384322E-2</v>
      </c>
      <c r="E16" s="7">
        <f>'Table S10'!E15*'Table S11ab'!$H7</f>
        <v>-4.510670773235937E-2</v>
      </c>
      <c r="F16" s="7"/>
      <c r="G16" s="7">
        <f>'Table S10'!G15*'Table S11ab'!$H7</f>
        <v>-4.125719673330179E-2</v>
      </c>
      <c r="H16" s="7">
        <f>'Table S10'!H15*'Table S11ab'!$H7</f>
        <v>-0.10975323959154509</v>
      </c>
      <c r="I16" s="7">
        <f>'Table S10'!I15*'Table S11ab'!$H7</f>
        <v>-8.5232526631902436E-2</v>
      </c>
      <c r="J16" s="7"/>
      <c r="K16" s="7">
        <f>'Table S10'!K15*'Table S11ab'!$H7</f>
        <v>-0.1142736182021426</v>
      </c>
      <c r="L16" s="7">
        <f>'Table S10'!L15*'Table S11ab'!$H7</f>
        <v>-2.1232845335368591E-2</v>
      </c>
      <c r="M16" s="7">
        <f>'Table S10'!M15*'Table S11ab'!$H7</f>
        <v>-9.6714433974017897E-2</v>
      </c>
      <c r="O16" s="18">
        <f t="shared" si="6"/>
        <v>-3.0944517105976066E-2</v>
      </c>
      <c r="P16" s="19">
        <f t="shared" si="7"/>
        <v>-5.9224192889218263E-2</v>
      </c>
      <c r="Q16" s="7">
        <f t="shared" ref="Q16:Q19" si="8">STDEV(B16:E16)</f>
        <v>3.4106103008139772E-2</v>
      </c>
      <c r="R16" s="7">
        <f t="shared" ref="R16:R19" si="9">STDEV(B16:M16)</f>
        <v>4.2322006181768991E-2</v>
      </c>
    </row>
    <row r="17" spans="1:18" x14ac:dyDescent="0.3">
      <c r="A17" s="3" t="s">
        <v>71</v>
      </c>
      <c r="B17" s="7">
        <f>'Table S10'!B16*'Table S11ab'!$H8</f>
        <v>-0.26313099020639691</v>
      </c>
      <c r="C17" s="7">
        <f>'Table S10'!C16*'Table S11ab'!$H8</f>
        <v>-2.4328498929317814E-2</v>
      </c>
      <c r="D17" s="7">
        <f>'Table S10'!D16*'Table S11ab'!$H8</f>
        <v>-0.13427406602237213</v>
      </c>
      <c r="E17" s="7">
        <f>'Table S10'!E16*'Table S11ab'!$H8</f>
        <v>-0.27818170410382947</v>
      </c>
      <c r="F17" s="7"/>
      <c r="G17" s="7">
        <f>'Table S10'!G16*'Table S11ab'!$H8</f>
        <v>-0.18352332677687697</v>
      </c>
      <c r="H17" s="7">
        <f>'Table S10'!H16*'Table S11ab'!$H8</f>
        <v>-0.28292785441003132</v>
      </c>
      <c r="I17" s="7">
        <f>'Table S10'!I16*'Table S11ab'!$H8</f>
        <v>-0.17749895431092669</v>
      </c>
      <c r="J17" s="7"/>
      <c r="K17" s="7">
        <f>'Table S10'!K16*'Table S11ab'!$H8</f>
        <v>-0.28901751830817651</v>
      </c>
      <c r="L17" s="7">
        <f>'Table S10'!L16*'Table S11ab'!$H8</f>
        <v>-0.13470258701444621</v>
      </c>
      <c r="M17" s="7">
        <f>'Table S10'!M16*'Table S11ab'!$H8</f>
        <v>-0.24976817696050993</v>
      </c>
      <c r="O17" s="18">
        <f t="shared" si="6"/>
        <v>-0.17497881481547908</v>
      </c>
      <c r="P17" s="19">
        <f t="shared" si="7"/>
        <v>-0.2017353677042884</v>
      </c>
      <c r="Q17" s="7">
        <f t="shared" si="8"/>
        <v>0.11940691860821234</v>
      </c>
      <c r="R17" s="7">
        <f t="shared" si="9"/>
        <v>8.66459651281941E-2</v>
      </c>
    </row>
    <row r="18" spans="1:18" x14ac:dyDescent="0.3">
      <c r="A18" s="3" t="s">
        <v>72</v>
      </c>
      <c r="B18" s="7">
        <f>'Table S10'!B17*'Table S11ab'!$H9</f>
        <v>-9.7328042076596122E-2</v>
      </c>
      <c r="C18" s="7">
        <f>'Table S10'!C17*'Table S11ab'!$H9</f>
        <v>2.8761203598506424E-2</v>
      </c>
      <c r="D18" s="7">
        <f>'Table S10'!D17*'Table S11ab'!$H9</f>
        <v>-2.6133881247343605E-2</v>
      </c>
      <c r="E18" s="7">
        <f>'Table S10'!E17*'Table S11ab'!$H9</f>
        <v>-0.10570628755925385</v>
      </c>
      <c r="F18" s="7"/>
      <c r="G18" s="7">
        <f>'Table S10'!G17*'Table S11ab'!$H9</f>
        <v>-7.226934577214672E-2</v>
      </c>
      <c r="H18" s="7">
        <f>'Table S10'!H17*'Table S11ab'!$H9</f>
        <v>-0.12746485653520517</v>
      </c>
      <c r="I18" s="7">
        <f>'Table S10'!I17*'Table S11ab'!$H9</f>
        <v>-8.3514376542414726E-2</v>
      </c>
      <c r="J18" s="7"/>
      <c r="K18" s="7">
        <f>'Table S10'!K17*'Table S11ab'!$H9</f>
        <v>-6.3357691737033997E-2</v>
      </c>
      <c r="L18" s="7">
        <f>'Table S10'!L17*'Table S11ab'!$H9</f>
        <v>-3.1092405786869615E-2</v>
      </c>
      <c r="M18" s="7">
        <f>'Table S10'!M17*'Table S11ab'!$H9</f>
        <v>-0.12377219865191058</v>
      </c>
      <c r="O18" s="18">
        <f t="shared" si="6"/>
        <v>-5.0101751821171783E-2</v>
      </c>
      <c r="P18" s="19">
        <f t="shared" si="7"/>
        <v>-7.0187788231026796E-2</v>
      </c>
      <c r="Q18" s="7">
        <f t="shared" si="8"/>
        <v>6.3550534860867924E-2</v>
      </c>
      <c r="R18" s="7">
        <f t="shared" si="9"/>
        <v>4.9033762128200861E-2</v>
      </c>
    </row>
    <row r="19" spans="1:18" x14ac:dyDescent="0.3">
      <c r="A19" s="6" t="s">
        <v>74</v>
      </c>
      <c r="B19" s="7">
        <f>'Table S10'!B19*'Table S11ab'!$H10</f>
        <v>-0.14079906078279886</v>
      </c>
      <c r="C19" s="7">
        <f>'Table S10'!C19*'Table S11ab'!$H10</f>
        <v>-2.9214759019925499E-2</v>
      </c>
      <c r="D19" s="7">
        <f>'Table S10'!D19*'Table S11ab'!$H10</f>
        <v>-0.11792878718394814</v>
      </c>
      <c r="E19" s="7">
        <f>'Table S10'!E19*'Table S11ab'!$H10</f>
        <v>-0.37826429649764365</v>
      </c>
      <c r="O19" s="18">
        <f t="shared" si="6"/>
        <v>-0.16655172587107903</v>
      </c>
      <c r="P19" s="19">
        <f t="shared" si="7"/>
        <v>-0.16655172587107903</v>
      </c>
      <c r="Q19" s="7">
        <f t="shared" si="8"/>
        <v>0.14912080667577832</v>
      </c>
      <c r="R19" s="7">
        <f t="shared" si="9"/>
        <v>0.14912080667577832</v>
      </c>
    </row>
    <row r="20" spans="1:18" x14ac:dyDescent="0.3">
      <c r="A20" s="3" t="s">
        <v>106</v>
      </c>
      <c r="B20" s="26">
        <f>SUM(B15:B19)</f>
        <v>-0.65392020059529554</v>
      </c>
      <c r="C20" s="26">
        <f t="shared" ref="C20:E20" si="10">SUM(C15:C19)</f>
        <v>-1.48351646269302E-3</v>
      </c>
      <c r="D20" s="26">
        <f t="shared" si="10"/>
        <v>-0.35143606453352105</v>
      </c>
      <c r="E20" s="26">
        <f t="shared" si="10"/>
        <v>-0.90717617791243432</v>
      </c>
      <c r="O20" s="18">
        <f>SUM(O15:O19)</f>
        <v>-0.47850398987598597</v>
      </c>
      <c r="P20" s="18">
        <f>SUM(P15:P19)</f>
        <v>-0.57407229050224085</v>
      </c>
      <c r="Q20" s="7">
        <f t="shared" ref="Q20" si="11">STDEV(B20:E20)</f>
        <v>0.39082198909706445</v>
      </c>
      <c r="R20" s="7">
        <f t="shared" ref="R20" si="12">STDEV(B20:M20)</f>
        <v>0.39082198909706445</v>
      </c>
    </row>
    <row r="22" spans="1:18" s="3" customFormat="1" x14ac:dyDescent="0.3">
      <c r="A22" s="20" t="s">
        <v>85</v>
      </c>
      <c r="B22" s="3" t="s">
        <v>0</v>
      </c>
      <c r="C22" s="3" t="s">
        <v>1</v>
      </c>
      <c r="D22" s="3" t="s">
        <v>2</v>
      </c>
      <c r="E22" s="3" t="s">
        <v>3</v>
      </c>
      <c r="G22" s="3" t="s">
        <v>4</v>
      </c>
      <c r="H22" s="3" t="s">
        <v>5</v>
      </c>
      <c r="I22" s="3" t="s">
        <v>6</v>
      </c>
      <c r="J22" s="3" t="s">
        <v>7</v>
      </c>
      <c r="K22" s="3" t="s">
        <v>8</v>
      </c>
      <c r="L22" s="3" t="s">
        <v>9</v>
      </c>
      <c r="M22" s="3" t="s">
        <v>10</v>
      </c>
      <c r="O22" s="3" t="s">
        <v>35</v>
      </c>
      <c r="P22" s="6" t="s">
        <v>34</v>
      </c>
      <c r="Q22" s="3" t="s">
        <v>119</v>
      </c>
      <c r="R22" s="3" t="s">
        <v>120</v>
      </c>
    </row>
    <row r="23" spans="1:18" x14ac:dyDescent="0.3">
      <c r="A23" s="3" t="s">
        <v>69</v>
      </c>
      <c r="B23" s="7">
        <f>'Table S10'!B22*'Table S11ab'!$F6</f>
        <v>-0.14084346612028401</v>
      </c>
      <c r="C23" s="7">
        <f>'Table S10'!C22*'Table S11ab'!$F6</f>
        <v>-0.17767203833337111</v>
      </c>
      <c r="D23" s="7">
        <f>'Table S10'!D22*'Table S11ab'!$F6</f>
        <v>-9.7259299807587893E-2</v>
      </c>
      <c r="E23" s="7">
        <f>'Table S10'!E22*'Table S11ab'!$F6</f>
        <v>-0.11774751862023693</v>
      </c>
      <c r="F23" s="7"/>
      <c r="G23" s="7">
        <f>'Table S10'!G22*'Table S11ab'!$F6</f>
        <v>-6.5832643029105284E-2</v>
      </c>
      <c r="H23" s="7">
        <f>'Table S10'!H22*'Table S11ab'!$F6</f>
        <v>-9.9488061723686974E-2</v>
      </c>
      <c r="I23" s="7">
        <f>'Table S10'!I22*'Table S11ab'!$F6</f>
        <v>-0.12225233737067477</v>
      </c>
      <c r="J23" s="7">
        <f>'Table S10'!J22*'Table S11ab'!$F6</f>
        <v>-0.11328700424376571</v>
      </c>
      <c r="K23" s="7">
        <f>'Table S10'!K22*'Table S11ab'!$F6</f>
        <v>-8.8628824183953084E-2</v>
      </c>
      <c r="L23" s="7">
        <f>'Table S10'!L22*'Table S11ab'!$F6</f>
        <v>-8.7381784845326202E-2</v>
      </c>
      <c r="M23" s="7">
        <f>'Table S10'!M22*'Table S11ab'!$F6</f>
        <v>-0.12393601209338849</v>
      </c>
      <c r="O23" s="18">
        <f t="shared" ref="O23:O27" si="13">AVERAGE(B23:E23)</f>
        <v>-0.13338058072036998</v>
      </c>
      <c r="P23" s="19">
        <f t="shared" ref="P23:P27" si="14">AVERAGE(B23:M23)</f>
        <v>-0.11221172639739824</v>
      </c>
      <c r="Q23" s="7">
        <f>STDEV(B23:E23)</f>
        <v>3.4479788482449009E-2</v>
      </c>
      <c r="R23" s="7">
        <f>STDEV(B23:M23)</f>
        <v>3.0139788108275018E-2</v>
      </c>
    </row>
    <row r="24" spans="1:18" x14ac:dyDescent="0.3">
      <c r="A24" s="3" t="s">
        <v>70</v>
      </c>
      <c r="B24" s="7">
        <f>'Table S10'!B23*'Table S11ab'!$F7</f>
        <v>-0.16853734156485295</v>
      </c>
      <c r="C24" s="7">
        <f>'Table S10'!C23*'Table S11ab'!$F7</f>
        <v>-0.20860856463427299</v>
      </c>
      <c r="D24" s="7">
        <f>'Table S10'!D23*'Table S11ab'!$F7</f>
        <v>-0.12394124205677579</v>
      </c>
      <c r="E24" s="7">
        <f>'Table S10'!E23*'Table S11ab'!$F7</f>
        <v>-0.13027291080488565</v>
      </c>
      <c r="F24" s="7"/>
      <c r="G24" s="7">
        <f>'Table S10'!G23*'Table S11ab'!$F7</f>
        <v>-5.1046835549893428E-2</v>
      </c>
      <c r="H24" s="7">
        <f>'Table S10'!H23*'Table S11ab'!$F7</f>
        <v>-0.12273014535933799</v>
      </c>
      <c r="I24" s="7">
        <f>'Table S10'!I23*'Table S11ab'!$F7</f>
        <v>-0.14773086863875171</v>
      </c>
      <c r="J24" s="7">
        <f>'Table S10'!J23*'Table S11ab'!$F7</f>
        <v>-0.13812871100020399</v>
      </c>
      <c r="K24" s="7">
        <f>'Table S10'!K23*'Table S11ab'!$F7</f>
        <v>-0.11096461828905174</v>
      </c>
      <c r="L24" s="7">
        <f>'Table S10'!L23*'Table S11ab'!$F7</f>
        <v>-0.10916094049813801</v>
      </c>
      <c r="M24" s="7">
        <f>'Table S10'!M23*'Table S11ab'!$F7</f>
        <v>-0.15219350323859795</v>
      </c>
      <c r="O24" s="18">
        <f t="shared" si="13"/>
        <v>-0.15784001476519685</v>
      </c>
      <c r="P24" s="19">
        <f t="shared" si="14"/>
        <v>-0.13302869833043293</v>
      </c>
      <c r="Q24" s="7">
        <f t="shared" ref="Q24:Q28" si="15">STDEV(B24:E24)</f>
        <v>3.9161845667959772E-2</v>
      </c>
      <c r="R24" s="7">
        <f t="shared" ref="R24:R28" si="16">STDEV(B24:M24)</f>
        <v>3.9441588912873575E-2</v>
      </c>
    </row>
    <row r="25" spans="1:18" x14ac:dyDescent="0.3">
      <c r="A25" s="3" t="s">
        <v>71</v>
      </c>
      <c r="B25" s="7">
        <f>'Table S10'!B24*'Table S11ab'!$F8</f>
        <v>-0.3506679968718534</v>
      </c>
      <c r="C25" s="7">
        <f>'Table S10'!C24*'Table S11ab'!$F8</f>
        <v>-0.41487783929860755</v>
      </c>
      <c r="D25" s="7">
        <f>'Table S10'!D24*'Table S11ab'!$F8</f>
        <v>-0.26743450010638814</v>
      </c>
      <c r="E25" s="7">
        <f>'Table S10'!E24*'Table S11ab'!$F8</f>
        <v>-0.3465674620405893</v>
      </c>
      <c r="F25" s="7"/>
      <c r="G25" s="7">
        <f>'Table S10'!G24*'Table S11ab'!$F8</f>
        <v>-0.25317600349917357</v>
      </c>
      <c r="H25" s="7">
        <f>'Table S10'!H24*'Table S11ab'!$F8</f>
        <v>-0.27031314938297885</v>
      </c>
      <c r="I25" s="7">
        <f>'Table S10'!I24*'Table S11ab'!$F8</f>
        <v>-0.30846273825149689</v>
      </c>
      <c r="J25" s="7">
        <f>'Table S10'!J24*'Table S11ab'!$F8</f>
        <v>-0.29848839723031417</v>
      </c>
      <c r="K25" s="7">
        <f>'Table S10'!K24*'Table S11ab'!$F8</f>
        <v>-0.24935363406902092</v>
      </c>
      <c r="L25" s="7">
        <f>'Table S10'!L24*'Table S11ab'!$F8</f>
        <v>-0.24458758720987983</v>
      </c>
      <c r="M25" s="7">
        <f>'Table S10'!M24*'Table S11ab'!$F8</f>
        <v>-0.30165779334903592</v>
      </c>
      <c r="O25" s="18">
        <f t="shared" si="13"/>
        <v>-0.34488694957935961</v>
      </c>
      <c r="P25" s="19">
        <f t="shared" si="14"/>
        <v>-0.300507918300849</v>
      </c>
      <c r="Q25" s="7">
        <f t="shared" si="15"/>
        <v>6.0370663965719468E-2</v>
      </c>
      <c r="R25" s="7">
        <f t="shared" si="16"/>
        <v>5.2703323579903504E-2</v>
      </c>
    </row>
    <row r="26" spans="1:18" x14ac:dyDescent="0.3">
      <c r="A26" s="3" t="s">
        <v>72</v>
      </c>
      <c r="B26" s="7">
        <f>'Table S10'!B25*'Table S11ab'!$F9</f>
        <v>-0.5270168469572637</v>
      </c>
      <c r="C26" s="7">
        <f>'Table S10'!C25*'Table S11ab'!$F9</f>
        <v>-0.62193035529028773</v>
      </c>
      <c r="D26" s="7">
        <f>'Table S10'!D25*'Table S11ab'!$F9</f>
        <v>-0.40013748955662659</v>
      </c>
      <c r="E26" s="7">
        <f>'Table S10'!E25*'Table S11ab'!$F9</f>
        <v>-0.50679917083043191</v>
      </c>
      <c r="F26" s="7"/>
      <c r="G26" s="7">
        <f>'Table S10'!G25*'Table S11ab'!$F9</f>
        <v>-0.31313092557423916</v>
      </c>
      <c r="H26" s="7">
        <f>'Table S10'!H25*'Table S11ab'!$F9</f>
        <v>-0.3868086660571049</v>
      </c>
      <c r="I26" s="7">
        <f>'Table S10'!I25*'Table S11ab'!$F9</f>
        <v>-0.47421188993240343</v>
      </c>
      <c r="J26" s="7">
        <f>'Table S10'!J25*'Table S11ab'!$F9</f>
        <v>-0.44360376810605978</v>
      </c>
      <c r="K26" s="7">
        <f>'Table S10'!K25*'Table S11ab'!$F9</f>
        <v>-0.36715094443819679</v>
      </c>
      <c r="L26" s="7">
        <f>'Table S10'!L25*'Table S11ab'!$F9</f>
        <v>-0.34034850180296466</v>
      </c>
      <c r="M26" s="7">
        <f>'Table S10'!M25*'Table S11ab'!$F9</f>
        <v>-0.47129464792358133</v>
      </c>
      <c r="O26" s="18">
        <f t="shared" si="13"/>
        <v>-0.51397096565865241</v>
      </c>
      <c r="P26" s="19">
        <f t="shared" si="14"/>
        <v>-0.44113029149719635</v>
      </c>
      <c r="Q26" s="7">
        <f t="shared" si="15"/>
        <v>9.0985199805648967E-2</v>
      </c>
      <c r="R26" s="7">
        <f t="shared" si="16"/>
        <v>9.1122424919865538E-2</v>
      </c>
    </row>
    <row r="27" spans="1:18" x14ac:dyDescent="0.3">
      <c r="A27" s="6" t="s">
        <v>74</v>
      </c>
      <c r="B27" s="7">
        <f>'Table S10'!B27*'Table S11ab'!$F10</f>
        <v>-0.25453887790650803</v>
      </c>
      <c r="C27" s="7">
        <f>'Table S10'!C27*'Table S11ab'!$F10</f>
        <v>-0.36813278892131551</v>
      </c>
      <c r="D27" s="7">
        <f>'Table S10'!D27*'Table S11ab'!$F10</f>
        <v>-0.18790455336812908</v>
      </c>
      <c r="E27" s="7">
        <f>'Table S10'!E27*'Table S11ab'!$F10</f>
        <v>-0.25524171930738221</v>
      </c>
      <c r="O27" s="18">
        <f t="shared" si="13"/>
        <v>-0.26645448487583373</v>
      </c>
      <c r="P27" s="19">
        <f t="shared" si="14"/>
        <v>-0.26645448487583373</v>
      </c>
      <c r="Q27" s="7">
        <f t="shared" si="15"/>
        <v>7.4780293871605341E-2</v>
      </c>
      <c r="R27" s="7">
        <f t="shared" si="16"/>
        <v>7.4780293871605341E-2</v>
      </c>
    </row>
    <row r="28" spans="1:18" x14ac:dyDescent="0.3">
      <c r="A28" s="3" t="s">
        <v>106</v>
      </c>
      <c r="B28" s="26">
        <f>SUM(B23:B27)</f>
        <v>-1.4416045294207622</v>
      </c>
      <c r="C28" s="26">
        <f t="shared" ref="C28:E28" si="17">SUM(C23:C27)</f>
        <v>-1.7912215864778549</v>
      </c>
      <c r="D28" s="26">
        <f t="shared" si="17"/>
        <v>-1.0766770848955076</v>
      </c>
      <c r="E28" s="26">
        <f t="shared" si="17"/>
        <v>-1.3566287816035258</v>
      </c>
      <c r="O28" s="18">
        <f>SUM(O23:O27)</f>
        <v>-1.4165329955994126</v>
      </c>
      <c r="P28" s="18">
        <f>SUM(P23:P27)</f>
        <v>-1.2533331194017101</v>
      </c>
      <c r="Q28" s="7">
        <f t="shared" si="15"/>
        <v>0.29445468063154423</v>
      </c>
      <c r="R28" s="7">
        <f t="shared" si="16"/>
        <v>0.29445468063154423</v>
      </c>
    </row>
    <row r="30" spans="1:18" x14ac:dyDescent="0.3">
      <c r="A30" s="6" t="s">
        <v>29</v>
      </c>
      <c r="B30" t="s">
        <v>111</v>
      </c>
    </row>
    <row r="31" spans="1:18" x14ac:dyDescent="0.3">
      <c r="A31" s="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I22" sqref="I22"/>
    </sheetView>
  </sheetViews>
  <sheetFormatPr defaultRowHeight="14.4" x14ac:dyDescent="0.3"/>
  <sheetData>
    <row r="22" spans="1:2" x14ac:dyDescent="0.3">
      <c r="A22" s="3" t="s">
        <v>29</v>
      </c>
      <c r="B22" t="s">
        <v>154</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L19" sqref="L19"/>
    </sheetView>
  </sheetViews>
  <sheetFormatPr defaultRowHeight="14.4" x14ac:dyDescent="0.3"/>
  <sheetData>
    <row r="22" spans="1:2" x14ac:dyDescent="0.3">
      <c r="A22" s="3" t="s">
        <v>29</v>
      </c>
      <c r="B22" t="s">
        <v>156</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B22"/>
  <sheetViews>
    <sheetView workbookViewId="0">
      <selection activeCell="C26" sqref="C26"/>
    </sheetView>
  </sheetViews>
  <sheetFormatPr defaultRowHeight="14.4" x14ac:dyDescent="0.3"/>
  <sheetData>
    <row r="22" spans="1:2" x14ac:dyDescent="0.3">
      <c r="A22" s="3" t="s">
        <v>29</v>
      </c>
      <c r="B22" t="s">
        <v>155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B23" sqref="B23"/>
    </sheetView>
  </sheetViews>
  <sheetFormatPr defaultRowHeight="14.4" x14ac:dyDescent="0.3"/>
  <sheetData>
    <row r="1" spans="1:16" x14ac:dyDescent="0.3">
      <c r="A1" s="3" t="s">
        <v>144</v>
      </c>
    </row>
    <row r="3" spans="1:16"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6" s="4" customFormat="1" x14ac:dyDescent="0.3">
      <c r="A4" s="6" t="s">
        <v>11</v>
      </c>
      <c r="B4" s="5">
        <v>4974.1000000000004</v>
      </c>
      <c r="C4" s="5">
        <v>4978.2</v>
      </c>
      <c r="D4" s="5">
        <v>4975.7</v>
      </c>
      <c r="E4" s="5">
        <v>4923</v>
      </c>
      <c r="F4" s="5"/>
      <c r="G4" s="5">
        <v>4984</v>
      </c>
      <c r="H4" s="5">
        <v>4982.3999999999996</v>
      </c>
      <c r="I4" s="5">
        <v>4964.5</v>
      </c>
      <c r="J4" s="5">
        <v>5094.6000000000004</v>
      </c>
      <c r="K4" s="5">
        <v>4951.8</v>
      </c>
      <c r="L4" s="5">
        <v>4734.3999999999996</v>
      </c>
      <c r="M4" s="5">
        <v>4986.3</v>
      </c>
    </row>
    <row r="5" spans="1:16" s="4" customFormat="1" x14ac:dyDescent="0.3">
      <c r="A5" s="6" t="s">
        <v>12</v>
      </c>
      <c r="B5" s="5">
        <v>4974.1000000000004</v>
      </c>
      <c r="C5" s="5">
        <v>4978.2</v>
      </c>
      <c r="D5" s="5">
        <v>4975.7</v>
      </c>
      <c r="E5" s="5">
        <v>4923</v>
      </c>
      <c r="F5" s="5"/>
      <c r="G5" s="5"/>
      <c r="H5" s="5"/>
      <c r="I5" s="5"/>
      <c r="J5" s="5"/>
      <c r="K5" s="5"/>
      <c r="L5" s="5"/>
      <c r="M5" s="5"/>
    </row>
    <row r="6" spans="1:16" s="4" customFormat="1" x14ac:dyDescent="0.3">
      <c r="A6" s="6" t="s">
        <v>13</v>
      </c>
      <c r="B6" s="5">
        <v>3978.8</v>
      </c>
      <c r="C6" s="5">
        <v>3981.7</v>
      </c>
      <c r="D6" s="5">
        <v>3979.8</v>
      </c>
      <c r="E6" s="5">
        <v>3946.8</v>
      </c>
      <c r="F6" s="5"/>
      <c r="G6" s="5">
        <v>3987.6</v>
      </c>
      <c r="H6" s="5">
        <v>3984.8</v>
      </c>
      <c r="I6" s="5">
        <v>3978.5</v>
      </c>
      <c r="J6" s="5">
        <v>4075.5</v>
      </c>
      <c r="K6" s="5">
        <v>3969</v>
      </c>
      <c r="L6" s="5">
        <v>3787.4</v>
      </c>
      <c r="M6" s="5">
        <v>3989.1</v>
      </c>
    </row>
    <row r="7" spans="1:16" s="4" customFormat="1" x14ac:dyDescent="0.3">
      <c r="A7" s="6" t="s">
        <v>14</v>
      </c>
      <c r="B7" s="5">
        <v>4974.1000000000004</v>
      </c>
      <c r="C7" s="5">
        <v>4978.2</v>
      </c>
      <c r="D7" s="5">
        <v>4975.7</v>
      </c>
      <c r="E7" s="5">
        <v>4923</v>
      </c>
      <c r="F7" s="5"/>
      <c r="G7" s="5">
        <v>4984</v>
      </c>
      <c r="H7" s="5">
        <v>4982.3999999999996</v>
      </c>
      <c r="I7" s="5">
        <v>4964.5</v>
      </c>
      <c r="J7" s="5">
        <v>5094.6000000000004</v>
      </c>
      <c r="K7" s="5">
        <v>4951.8</v>
      </c>
      <c r="L7" s="5">
        <v>4734.3999999999996</v>
      </c>
      <c r="M7" s="5">
        <v>4986.3</v>
      </c>
    </row>
    <row r="8" spans="1:16" s="4" customFormat="1" x14ac:dyDescent="0.3">
      <c r="A8" s="6" t="s">
        <v>15</v>
      </c>
      <c r="B8" s="5">
        <v>4974.1000000000004</v>
      </c>
      <c r="C8" s="5">
        <v>4978.2</v>
      </c>
      <c r="D8" s="5">
        <v>4975.7</v>
      </c>
      <c r="E8" s="5">
        <v>4923</v>
      </c>
      <c r="F8" s="5"/>
      <c r="G8" s="5">
        <v>4984</v>
      </c>
      <c r="H8" s="5">
        <v>4982.3999999999996</v>
      </c>
      <c r="I8" s="5">
        <v>4964.5</v>
      </c>
      <c r="J8" s="5">
        <v>5094.6000000000004</v>
      </c>
      <c r="K8" s="5">
        <v>4951.8</v>
      </c>
      <c r="L8" s="5">
        <v>4734.3999999999996</v>
      </c>
      <c r="M8" s="5">
        <v>4986.3</v>
      </c>
    </row>
    <row r="9" spans="1:16" s="4" customFormat="1" x14ac:dyDescent="0.3">
      <c r="A9" s="6" t="s">
        <v>16</v>
      </c>
      <c r="B9" s="5">
        <v>4974.1000000000004</v>
      </c>
      <c r="C9" s="5">
        <v>4978.2</v>
      </c>
      <c r="D9" s="5">
        <v>4975.7</v>
      </c>
      <c r="E9" s="5">
        <v>4923</v>
      </c>
      <c r="F9" s="5"/>
      <c r="G9" s="5">
        <v>4984</v>
      </c>
      <c r="H9" s="5">
        <v>4982.3999999999996</v>
      </c>
      <c r="I9" s="5">
        <v>4964.5</v>
      </c>
      <c r="J9" s="5">
        <v>5094.6000000000004</v>
      </c>
      <c r="K9" s="5">
        <v>4951.8</v>
      </c>
      <c r="L9" s="5">
        <v>4734.3999999999996</v>
      </c>
      <c r="M9" s="5">
        <v>4986.3</v>
      </c>
    </row>
    <row r="10" spans="1:16" s="4" customFormat="1" x14ac:dyDescent="0.3">
      <c r="A10" s="6" t="s">
        <v>17</v>
      </c>
      <c r="B10" s="5">
        <v>4974.1000000000004</v>
      </c>
      <c r="C10" s="5">
        <v>4978.2</v>
      </c>
      <c r="D10" s="5">
        <v>4975.7</v>
      </c>
      <c r="E10" s="5">
        <v>4923</v>
      </c>
      <c r="F10" s="5"/>
      <c r="G10" s="5">
        <v>4984</v>
      </c>
      <c r="H10" s="5">
        <v>4982.3999999999996</v>
      </c>
      <c r="I10" s="5">
        <v>4964.5</v>
      </c>
      <c r="J10" s="5">
        <v>5094.6000000000004</v>
      </c>
      <c r="K10" s="5">
        <v>4951.8</v>
      </c>
      <c r="L10" s="5">
        <v>4734.3999999999996</v>
      </c>
      <c r="M10" s="5">
        <v>4986.3</v>
      </c>
    </row>
    <row r="11" spans="1:16" s="4" customFormat="1" x14ac:dyDescent="0.3">
      <c r="A11" s="6" t="s">
        <v>18</v>
      </c>
      <c r="B11" s="5">
        <v>4974.1000000000004</v>
      </c>
      <c r="C11" s="5">
        <v>4978.2</v>
      </c>
      <c r="D11" s="5">
        <v>4975.7</v>
      </c>
      <c r="E11" s="5">
        <v>4923</v>
      </c>
      <c r="F11" s="5"/>
      <c r="G11" s="5"/>
      <c r="H11" s="5"/>
      <c r="I11" s="5"/>
      <c r="J11" s="5"/>
      <c r="K11" s="5"/>
      <c r="L11" s="5"/>
      <c r="M11" s="5"/>
    </row>
    <row r="12" spans="1:16" s="4" customFormat="1" x14ac:dyDescent="0.3">
      <c r="A12" s="6" t="s">
        <v>19</v>
      </c>
      <c r="B12" s="5">
        <v>4974.1000000000004</v>
      </c>
      <c r="C12" s="5">
        <v>4978.2</v>
      </c>
      <c r="D12" s="5">
        <v>4975.7</v>
      </c>
      <c r="E12" s="5">
        <v>4923</v>
      </c>
      <c r="F12" s="5"/>
      <c r="G12" s="5">
        <v>4984</v>
      </c>
      <c r="H12" s="5">
        <v>4982.3999999999996</v>
      </c>
      <c r="I12" s="5">
        <v>4964.5</v>
      </c>
      <c r="J12" s="5">
        <v>5094.6000000000004</v>
      </c>
      <c r="K12" s="5">
        <v>4951.8</v>
      </c>
      <c r="L12" s="5">
        <v>4734.3999999999996</v>
      </c>
      <c r="M12" s="5">
        <v>4986.3</v>
      </c>
    </row>
    <row r="13" spans="1:16" s="4" customFormat="1" x14ac:dyDescent="0.3">
      <c r="A13" s="6" t="s">
        <v>20</v>
      </c>
      <c r="B13" s="5">
        <v>4974.1000000000004</v>
      </c>
      <c r="C13" s="5">
        <v>4978.2</v>
      </c>
      <c r="D13" s="5">
        <v>4975.7</v>
      </c>
      <c r="E13" s="5">
        <v>4923</v>
      </c>
      <c r="F13" s="5"/>
      <c r="G13" s="5">
        <v>4984</v>
      </c>
      <c r="H13" s="5">
        <v>4982.3999999999996</v>
      </c>
      <c r="I13" s="5">
        <v>4964.5</v>
      </c>
      <c r="J13" s="5">
        <v>5094.6000000000004</v>
      </c>
      <c r="K13" s="5">
        <v>4951.8</v>
      </c>
      <c r="L13" s="5">
        <v>4734.3999999999996</v>
      </c>
      <c r="M13" s="5">
        <v>4986.3</v>
      </c>
    </row>
    <row r="14" spans="1:16" s="4" customFormat="1" x14ac:dyDescent="0.3">
      <c r="A14" s="6" t="s">
        <v>21</v>
      </c>
      <c r="B14" s="5">
        <v>4974.1000000000004</v>
      </c>
      <c r="C14" s="5">
        <v>4978.2</v>
      </c>
      <c r="D14" s="5">
        <v>4975.7</v>
      </c>
      <c r="E14" s="5">
        <v>4923</v>
      </c>
      <c r="F14" s="5"/>
      <c r="G14" s="5">
        <v>4984</v>
      </c>
      <c r="H14" s="5">
        <v>4982.3999999999996</v>
      </c>
      <c r="I14" s="5">
        <v>4964.5</v>
      </c>
      <c r="J14" s="5">
        <v>5094.6000000000004</v>
      </c>
      <c r="K14" s="5">
        <v>4951.8</v>
      </c>
      <c r="L14" s="5">
        <v>4734.3999999999996</v>
      </c>
      <c r="M14" s="5">
        <v>4986.3</v>
      </c>
    </row>
    <row r="15" spans="1:16" s="4" customFormat="1" x14ac:dyDescent="0.3">
      <c r="A15" s="6" t="s">
        <v>22</v>
      </c>
      <c r="B15" s="5">
        <v>4974.1000000000004</v>
      </c>
      <c r="C15" s="5">
        <v>4978.2</v>
      </c>
      <c r="D15" s="5">
        <v>4975.7</v>
      </c>
      <c r="E15" s="5">
        <v>4923</v>
      </c>
      <c r="F15" s="5"/>
      <c r="G15" s="5">
        <v>4984</v>
      </c>
      <c r="H15" s="5">
        <v>4982.3999999999996</v>
      </c>
      <c r="I15" s="5">
        <v>4964.5</v>
      </c>
      <c r="J15" s="5">
        <v>5094.6000000000004</v>
      </c>
      <c r="K15" s="5">
        <v>4951.8</v>
      </c>
      <c r="L15" s="5">
        <v>4734.3999999999996</v>
      </c>
      <c r="M15" s="5">
        <v>4986.3</v>
      </c>
    </row>
    <row r="16" spans="1:16" s="4" customFormat="1" x14ac:dyDescent="0.3">
      <c r="A16" s="6" t="s">
        <v>23</v>
      </c>
      <c r="B16" s="5">
        <v>4974.1000000000004</v>
      </c>
      <c r="C16" s="5">
        <v>4978.2</v>
      </c>
      <c r="D16" s="5">
        <v>4975.7</v>
      </c>
      <c r="E16" s="5">
        <v>4923</v>
      </c>
      <c r="F16" s="5"/>
      <c r="G16" s="5"/>
      <c r="H16" s="5"/>
      <c r="I16" s="5"/>
      <c r="J16" s="5"/>
      <c r="K16" s="5"/>
      <c r="L16" s="5"/>
      <c r="M16" s="5"/>
    </row>
    <row r="17" spans="1:13" s="4" customFormat="1" x14ac:dyDescent="0.3">
      <c r="A17" s="6" t="s">
        <v>24</v>
      </c>
      <c r="B17" s="5">
        <v>4974.1000000000004</v>
      </c>
      <c r="C17" s="5">
        <v>4978.2</v>
      </c>
      <c r="D17" s="5">
        <v>4975.7</v>
      </c>
      <c r="E17" s="5">
        <v>4923</v>
      </c>
      <c r="F17" s="5"/>
      <c r="G17" s="5">
        <v>4984</v>
      </c>
      <c r="H17" s="5">
        <v>4982.3999999999996</v>
      </c>
      <c r="I17" s="5">
        <v>4964.5</v>
      </c>
      <c r="J17" s="5">
        <v>5094.6000000000004</v>
      </c>
      <c r="K17" s="5">
        <v>4951.8</v>
      </c>
      <c r="L17" s="5">
        <v>4734.3999999999996</v>
      </c>
      <c r="M17" s="5">
        <v>4986.3</v>
      </c>
    </row>
    <row r="18" spans="1:13" s="4" customFormat="1" x14ac:dyDescent="0.3">
      <c r="A18" s="6" t="s">
        <v>25</v>
      </c>
      <c r="B18" s="5">
        <v>4974.1000000000004</v>
      </c>
      <c r="C18" s="5">
        <v>4978.2</v>
      </c>
      <c r="D18" s="5">
        <v>4975.7</v>
      </c>
      <c r="E18" s="5">
        <v>4923</v>
      </c>
      <c r="F18" s="5"/>
      <c r="G18" s="5">
        <v>4984</v>
      </c>
      <c r="H18" s="5">
        <v>4982.3999999999996</v>
      </c>
      <c r="I18" s="5">
        <v>4964.5</v>
      </c>
      <c r="J18" s="5">
        <v>5094.6000000000004</v>
      </c>
      <c r="K18" s="5">
        <v>4951.8</v>
      </c>
      <c r="L18" s="5">
        <v>4734.3999999999996</v>
      </c>
      <c r="M18" s="5">
        <v>4986.3</v>
      </c>
    </row>
    <row r="19" spans="1:13" s="4" customFormat="1" x14ac:dyDescent="0.3">
      <c r="A19" s="6" t="s">
        <v>26</v>
      </c>
      <c r="B19" s="5">
        <v>4974.1000000000004</v>
      </c>
      <c r="C19" s="5">
        <v>4978.2</v>
      </c>
      <c r="D19" s="5">
        <v>4975.7</v>
      </c>
      <c r="E19" s="5">
        <v>4923</v>
      </c>
      <c r="F19" s="5"/>
      <c r="G19" s="5">
        <v>4984</v>
      </c>
      <c r="H19" s="5">
        <v>4982.3999999999996</v>
      </c>
      <c r="I19" s="5">
        <v>4964.5</v>
      </c>
      <c r="J19" s="5">
        <v>5094.6000000000004</v>
      </c>
      <c r="K19" s="5">
        <v>4951.8</v>
      </c>
      <c r="L19" s="5">
        <v>4734.3999999999996</v>
      </c>
      <c r="M19" s="5">
        <v>4986.3</v>
      </c>
    </row>
    <row r="20" spans="1:13" s="4" customFormat="1" x14ac:dyDescent="0.3">
      <c r="A20" s="6" t="s">
        <v>27</v>
      </c>
      <c r="B20" s="5">
        <v>4974.1000000000004</v>
      </c>
      <c r="C20" s="5">
        <v>4978.2</v>
      </c>
      <c r="D20" s="5">
        <v>4975.7</v>
      </c>
      <c r="E20" s="5">
        <v>4923</v>
      </c>
      <c r="F20" s="5"/>
      <c r="G20" s="5">
        <v>4984</v>
      </c>
      <c r="H20" s="5">
        <v>4982.3999999999996</v>
      </c>
      <c r="I20" s="5">
        <v>4964.5</v>
      </c>
      <c r="J20" s="5">
        <v>5094.6000000000004</v>
      </c>
      <c r="K20" s="5">
        <v>4951.8</v>
      </c>
      <c r="L20" s="5">
        <v>4734.3999999999996</v>
      </c>
      <c r="M20" s="5">
        <v>4986.3</v>
      </c>
    </row>
    <row r="21" spans="1:13" s="4" customFormat="1" x14ac:dyDescent="0.3">
      <c r="A21" s="6" t="s">
        <v>28</v>
      </c>
      <c r="B21" s="5">
        <v>4974.1000000000004</v>
      </c>
      <c r="C21" s="5">
        <v>4978.2</v>
      </c>
      <c r="D21" s="5">
        <v>4975.7</v>
      </c>
      <c r="E21" s="5">
        <v>4923</v>
      </c>
      <c r="F21" s="5"/>
      <c r="G21" s="5"/>
      <c r="H21" s="5"/>
      <c r="I21" s="5"/>
      <c r="J21" s="5"/>
      <c r="K21" s="5"/>
      <c r="L21" s="5"/>
      <c r="M21" s="5"/>
    </row>
    <row r="23" spans="1:13" x14ac:dyDescent="0.3">
      <c r="A23" s="6" t="s">
        <v>29</v>
      </c>
      <c r="B23" s="4" t="s">
        <v>33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workbookViewId="0">
      <selection activeCell="A16" sqref="A16"/>
    </sheetView>
  </sheetViews>
  <sheetFormatPr defaultRowHeight="14.4" x14ac:dyDescent="0.3"/>
  <cols>
    <col min="1" max="1" width="14.5546875" style="3" customWidth="1"/>
    <col min="3" max="3" width="2" customWidth="1"/>
    <col min="6" max="6" width="2.21875" customWidth="1"/>
    <col min="9" max="9" width="2.21875" customWidth="1"/>
    <col min="12" max="12" width="2.109375" customWidth="1"/>
  </cols>
  <sheetData>
    <row r="1" spans="1:13" x14ac:dyDescent="0.3">
      <c r="A1" s="3" t="s">
        <v>125</v>
      </c>
    </row>
    <row r="3" spans="1:13" s="3" customFormat="1" x14ac:dyDescent="0.3">
      <c r="B3" s="31" t="s">
        <v>83</v>
      </c>
      <c r="C3" s="31"/>
      <c r="D3" s="31"/>
      <c r="E3" s="31" t="s">
        <v>85</v>
      </c>
      <c r="F3" s="31"/>
      <c r="G3" s="31"/>
      <c r="H3" s="31" t="s">
        <v>84</v>
      </c>
      <c r="I3" s="31"/>
      <c r="J3" s="31"/>
      <c r="K3" s="31" t="s">
        <v>112</v>
      </c>
      <c r="L3" s="31"/>
      <c r="M3" s="31"/>
    </row>
    <row r="4" spans="1:13" x14ac:dyDescent="0.3">
      <c r="A4" s="3" t="s">
        <v>113</v>
      </c>
      <c r="B4" s="1">
        <f>'Table S12'!O6</f>
        <v>0.27283173532357352</v>
      </c>
      <c r="C4" s="1" t="s">
        <v>114</v>
      </c>
      <c r="D4" s="29">
        <f>'Table S12'!Q6</f>
        <v>7.4602256545380732E-2</v>
      </c>
      <c r="E4" s="1">
        <f>'Table S12'!O23</f>
        <v>-0.13338058072036998</v>
      </c>
      <c r="F4" s="1" t="s">
        <v>114</v>
      </c>
      <c r="G4" s="29">
        <f>'Table S12'!Q23</f>
        <v>3.4479788482449009E-2</v>
      </c>
      <c r="H4" s="1">
        <f>'Table S12'!O15</f>
        <v>-5.5927180262280031E-2</v>
      </c>
      <c r="I4" s="1" t="s">
        <v>114</v>
      </c>
      <c r="J4" s="29">
        <f>'Table S12'!Q15</f>
        <v>4.919018425071113E-2</v>
      </c>
      <c r="K4" s="1">
        <f t="shared" ref="K4:K11" si="0">SUM(B4, E4,H4)</f>
        <v>8.3523974340923512E-2</v>
      </c>
      <c r="L4" s="1" t="s">
        <v>114</v>
      </c>
      <c r="M4" s="29">
        <f>SQRT(D4^2+G4^2+J4^2)</f>
        <v>9.5781139699192011E-2</v>
      </c>
    </row>
    <row r="5" spans="1:13" x14ac:dyDescent="0.3">
      <c r="A5" s="3" t="s">
        <v>115</v>
      </c>
      <c r="B5" s="1">
        <f>'Table S12'!O7</f>
        <v>0.41339522681867769</v>
      </c>
      <c r="C5" s="1" t="s">
        <v>114</v>
      </c>
      <c r="D5" s="29">
        <f>'Table S12'!Q7</f>
        <v>8.8746640208387476E-2</v>
      </c>
      <c r="E5" s="1">
        <f>'Table S12'!O24</f>
        <v>-0.15784001476519685</v>
      </c>
      <c r="F5" s="1" t="s">
        <v>114</v>
      </c>
      <c r="G5" s="29">
        <f>'Table S12'!Q24</f>
        <v>3.9161845667959772E-2</v>
      </c>
      <c r="H5" s="1">
        <f>'Table S12'!O16</f>
        <v>-3.0944517105976066E-2</v>
      </c>
      <c r="I5" s="1" t="s">
        <v>114</v>
      </c>
      <c r="J5" s="29">
        <f>'Table S12'!Q16</f>
        <v>3.4106103008139772E-2</v>
      </c>
      <c r="K5" s="1">
        <f t="shared" si="0"/>
        <v>0.2246106949475048</v>
      </c>
      <c r="L5" s="1" t="s">
        <v>114</v>
      </c>
      <c r="M5" s="29">
        <f t="shared" ref="M5:M11" si="1">SQRT(D5^2+G5^2+J5^2)</f>
        <v>0.10282432867176872</v>
      </c>
    </row>
    <row r="6" spans="1:13" x14ac:dyDescent="0.3">
      <c r="A6" s="3" t="s">
        <v>116</v>
      </c>
      <c r="B6" s="1">
        <f>'Table S12'!O8</f>
        <v>1.2582460073749862</v>
      </c>
      <c r="C6" s="1" t="s">
        <v>114</v>
      </c>
      <c r="D6" s="29">
        <f>'Table S12'!Q8</f>
        <v>0.20770261097781081</v>
      </c>
      <c r="E6" s="1">
        <f>'Table S12'!O25</f>
        <v>-0.34488694957935961</v>
      </c>
      <c r="F6" s="1" t="s">
        <v>114</v>
      </c>
      <c r="G6" s="29">
        <f>'Table S12'!Q25</f>
        <v>6.0370663965719468E-2</v>
      </c>
      <c r="H6" s="1">
        <f>'Table S12'!O17</f>
        <v>-0.17497881481547908</v>
      </c>
      <c r="I6" s="1" t="s">
        <v>114</v>
      </c>
      <c r="J6" s="29">
        <f>'Table S12'!Q17</f>
        <v>0.11940691860821234</v>
      </c>
      <c r="K6" s="1">
        <f t="shared" si="0"/>
        <v>0.73838024298014748</v>
      </c>
      <c r="L6" s="1" t="s">
        <v>114</v>
      </c>
      <c r="M6" s="29">
        <f t="shared" si="1"/>
        <v>0.24706882418907061</v>
      </c>
    </row>
    <row r="7" spans="1:13" x14ac:dyDescent="0.3">
      <c r="A7" s="30" t="s">
        <v>117</v>
      </c>
      <c r="B7" s="1">
        <f>'Table S12'!O9</f>
        <v>0.71818535852180221</v>
      </c>
      <c r="C7" s="1" t="s">
        <v>114</v>
      </c>
      <c r="D7" s="29">
        <f>'Table S12'!Q9</f>
        <v>0.21961957318827768</v>
      </c>
      <c r="E7" s="1">
        <f>'Table S12'!O26</f>
        <v>-0.51397096565865241</v>
      </c>
      <c r="F7" s="1" t="s">
        <v>114</v>
      </c>
      <c r="G7" s="29">
        <f>'Table S12'!Q26</f>
        <v>9.0985199805648967E-2</v>
      </c>
      <c r="H7" s="1">
        <f>'Table S12'!O18</f>
        <v>-5.0101751821171783E-2</v>
      </c>
      <c r="I7" s="1" t="s">
        <v>114</v>
      </c>
      <c r="J7" s="29">
        <f>'Table S12'!Q18</f>
        <v>6.3550534860867924E-2</v>
      </c>
      <c r="K7" s="1">
        <f t="shared" si="0"/>
        <v>0.15411264104197803</v>
      </c>
      <c r="L7" s="1" t="s">
        <v>114</v>
      </c>
      <c r="M7" s="29">
        <f t="shared" si="1"/>
        <v>0.24606855547220474</v>
      </c>
    </row>
    <row r="8" spans="1:13" x14ac:dyDescent="0.3">
      <c r="A8" s="30" t="s">
        <v>74</v>
      </c>
      <c r="B8" s="1">
        <f>'Table S12'!O10</f>
        <v>1.7463216185425767</v>
      </c>
      <c r="C8" s="1" t="s">
        <v>114</v>
      </c>
      <c r="D8" s="29">
        <f>'Table S12'!Q10</f>
        <v>0.48705572211421666</v>
      </c>
      <c r="E8" s="1">
        <f>'Table S12'!O27</f>
        <v>-0.26645448487583373</v>
      </c>
      <c r="F8" s="1" t="s">
        <v>114</v>
      </c>
      <c r="G8" s="29">
        <f>'Table S12'!Q27</f>
        <v>7.4780293871605341E-2</v>
      </c>
      <c r="H8" s="1">
        <f>'Table S12'!O19</f>
        <v>-0.16655172587107903</v>
      </c>
      <c r="I8" s="1" t="s">
        <v>114</v>
      </c>
      <c r="J8" s="29">
        <f>'Table S12'!Q19</f>
        <v>0.14912080667577832</v>
      </c>
      <c r="K8" s="1">
        <f t="shared" si="0"/>
        <v>1.3133154077956641</v>
      </c>
      <c r="L8" s="1" t="s">
        <v>114</v>
      </c>
      <c r="M8" s="29">
        <f t="shared" si="1"/>
        <v>0.5148323841595045</v>
      </c>
    </row>
    <row r="9" spans="1:13" x14ac:dyDescent="0.3">
      <c r="A9" s="3" t="s">
        <v>118</v>
      </c>
      <c r="B9" s="1">
        <f>'Table S12'!O11</f>
        <v>0.34459310344827598</v>
      </c>
      <c r="C9" s="1" t="s">
        <v>114</v>
      </c>
      <c r="D9" s="29">
        <f>'Table S12'!Q11</f>
        <v>6.461120689655174E-2</v>
      </c>
      <c r="E9" s="1"/>
      <c r="F9" s="1"/>
      <c r="G9" s="29"/>
      <c r="H9" s="1"/>
      <c r="I9" s="1"/>
      <c r="J9" s="29"/>
      <c r="K9" s="1">
        <f>B9</f>
        <v>0.34459310344827598</v>
      </c>
      <c r="L9" s="1" t="s">
        <v>114</v>
      </c>
      <c r="M9" s="29">
        <f>D9</f>
        <v>6.461120689655174E-2</v>
      </c>
    </row>
    <row r="10" spans="1:13" x14ac:dyDescent="0.3">
      <c r="A10" s="3" t="s">
        <v>157</v>
      </c>
      <c r="B10" s="62" t="s">
        <v>158</v>
      </c>
      <c r="C10" s="1" t="s">
        <v>114</v>
      </c>
      <c r="D10" s="29" t="s">
        <v>159</v>
      </c>
      <c r="E10" s="1"/>
      <c r="F10" s="1"/>
      <c r="G10" s="29"/>
      <c r="H10" s="1"/>
      <c r="I10" s="1"/>
      <c r="J10" s="29"/>
      <c r="K10" s="62" t="s">
        <v>158</v>
      </c>
      <c r="L10" s="1" t="s">
        <v>114</v>
      </c>
      <c r="M10" s="29" t="s">
        <v>159</v>
      </c>
    </row>
    <row r="11" spans="1:13" x14ac:dyDescent="0.3">
      <c r="A11" s="3" t="s">
        <v>112</v>
      </c>
      <c r="B11" s="1">
        <f>SUM(B4:B9)</f>
        <v>4.7535730500298925</v>
      </c>
      <c r="C11" s="1" t="s">
        <v>114</v>
      </c>
      <c r="D11" s="29">
        <f>'Table S12'!Q12</f>
        <v>1.0189736714166859</v>
      </c>
      <c r="E11" s="1">
        <f>SUM(E4:E9)</f>
        <v>-1.4165329955994126</v>
      </c>
      <c r="F11" s="1" t="s">
        <v>114</v>
      </c>
      <c r="G11" s="29">
        <f>'Table S12'!Q28</f>
        <v>0.29445468063154423</v>
      </c>
      <c r="H11" s="1">
        <f>SUM(H4:H9)</f>
        <v>-0.47850398987598597</v>
      </c>
      <c r="I11" s="1" t="s">
        <v>114</v>
      </c>
      <c r="J11" s="29">
        <f>'Table S12'!Q20</f>
        <v>0.39082198909706445</v>
      </c>
      <c r="K11" s="1">
        <f t="shared" si="0"/>
        <v>2.8585360645544937</v>
      </c>
      <c r="L11" s="1" t="s">
        <v>114</v>
      </c>
      <c r="M11" s="29">
        <f t="shared" si="1"/>
        <v>1.1303772508096626</v>
      </c>
    </row>
    <row r="13" spans="1:13" x14ac:dyDescent="0.3">
      <c r="A13" s="3" t="s">
        <v>29</v>
      </c>
      <c r="B13" t="s">
        <v>122</v>
      </c>
    </row>
    <row r="14" spans="1:13" x14ac:dyDescent="0.3">
      <c r="B14" t="s">
        <v>121</v>
      </c>
    </row>
    <row r="15" spans="1:13" x14ac:dyDescent="0.3">
      <c r="B15" t="s">
        <v>123</v>
      </c>
    </row>
    <row r="16" spans="1:13" x14ac:dyDescent="0.3">
      <c r="B16" t="s">
        <v>124</v>
      </c>
    </row>
    <row r="18" spans="1:13" x14ac:dyDescent="0.3">
      <c r="A18" s="3" t="s">
        <v>126</v>
      </c>
    </row>
    <row r="20" spans="1:13" s="3" customFormat="1" x14ac:dyDescent="0.3">
      <c r="B20" s="31" t="s">
        <v>83</v>
      </c>
      <c r="C20" s="31"/>
      <c r="D20" s="31"/>
      <c r="E20" s="31" t="s">
        <v>85</v>
      </c>
      <c r="F20" s="31"/>
      <c r="G20" s="31"/>
      <c r="H20" s="31" t="s">
        <v>84</v>
      </c>
      <c r="I20" s="31"/>
      <c r="J20" s="31"/>
      <c r="K20" s="31" t="s">
        <v>112</v>
      </c>
      <c r="L20" s="31"/>
      <c r="M20" s="31"/>
    </row>
    <row r="21" spans="1:13" x14ac:dyDescent="0.3">
      <c r="A21" s="3" t="s">
        <v>113</v>
      </c>
      <c r="B21" s="1">
        <f>'Table S12'!P6</f>
        <v>0.30918115546778713</v>
      </c>
      <c r="C21" s="1" t="s">
        <v>114</v>
      </c>
      <c r="D21" s="29">
        <f>'Table S12'!R6</f>
        <v>5.9859149946324845E-2</v>
      </c>
      <c r="E21" s="1">
        <f>'Table S12'!P23</f>
        <v>-0.11221172639739824</v>
      </c>
      <c r="F21" s="1" t="s">
        <v>114</v>
      </c>
      <c r="G21" s="29">
        <f>'Table S12'!R23</f>
        <v>3.0139788108275018E-2</v>
      </c>
      <c r="H21" s="1">
        <f>'Table S12'!P15</f>
        <v>-7.6373215806628356E-2</v>
      </c>
      <c r="I21" s="1" t="s">
        <v>114</v>
      </c>
      <c r="J21" s="29">
        <f>'Table S12'!R15</f>
        <v>4.5368573789282142E-2</v>
      </c>
      <c r="K21" s="1">
        <f t="shared" ref="K21:K28" si="2">SUM(B21, E21,H21)</f>
        <v>0.12059621326376053</v>
      </c>
      <c r="L21" s="1" t="s">
        <v>114</v>
      </c>
      <c r="M21" s="29">
        <f>SQRT(D21^2+G21^2+J21^2)</f>
        <v>8.0931033276375852E-2</v>
      </c>
    </row>
    <row r="22" spans="1:13" x14ac:dyDescent="0.3">
      <c r="A22" s="3" t="s">
        <v>115</v>
      </c>
      <c r="B22" s="1">
        <f>'Table S12'!P7</f>
        <v>0.49412588437605692</v>
      </c>
      <c r="C22" s="1" t="s">
        <v>114</v>
      </c>
      <c r="D22" s="29">
        <f>'Table S12'!R7</f>
        <v>0.11653900275632112</v>
      </c>
      <c r="E22" s="1">
        <f>'Table S12'!P24</f>
        <v>-0.13302869833043293</v>
      </c>
      <c r="F22" s="1" t="s">
        <v>114</v>
      </c>
      <c r="G22" s="29">
        <f>'Table S12'!R24</f>
        <v>3.9441588912873575E-2</v>
      </c>
      <c r="H22" s="1">
        <f>'Table S12'!P16</f>
        <v>-5.9224192889218263E-2</v>
      </c>
      <c r="I22" s="1" t="s">
        <v>114</v>
      </c>
      <c r="J22" s="29">
        <f>'Table S12'!R16</f>
        <v>4.2322006181768991E-2</v>
      </c>
      <c r="K22" s="1">
        <f t="shared" si="2"/>
        <v>0.30187299315640576</v>
      </c>
      <c r="L22" s="1" t="s">
        <v>114</v>
      </c>
      <c r="M22" s="29">
        <f t="shared" ref="M22:M28" si="3">SQRT(D22^2+G22^2+J22^2)</f>
        <v>0.1301081485021581</v>
      </c>
    </row>
    <row r="23" spans="1:13" x14ac:dyDescent="0.3">
      <c r="A23" s="3" t="s">
        <v>116</v>
      </c>
      <c r="B23" s="1">
        <f>'Table S12'!P8</f>
        <v>1.3015398979070181</v>
      </c>
      <c r="C23" s="1" t="s">
        <v>114</v>
      </c>
      <c r="D23" s="29">
        <f>'Table S12'!R8</f>
        <v>0.38719455497533861</v>
      </c>
      <c r="E23" s="1">
        <f>'Table S12'!P25</f>
        <v>-0.300507918300849</v>
      </c>
      <c r="F23" s="1" t="s">
        <v>114</v>
      </c>
      <c r="G23" s="29">
        <f>'Table S12'!R25</f>
        <v>5.2703323579903504E-2</v>
      </c>
      <c r="H23" s="1">
        <f>'Table S12'!P17</f>
        <v>-0.2017353677042884</v>
      </c>
      <c r="I23" s="1" t="s">
        <v>114</v>
      </c>
      <c r="J23" s="29">
        <f>'Table S12'!R17</f>
        <v>8.66459651281941E-2</v>
      </c>
      <c r="K23" s="1">
        <f t="shared" si="2"/>
        <v>0.79929661190188073</v>
      </c>
      <c r="L23" s="1" t="s">
        <v>114</v>
      </c>
      <c r="M23" s="29">
        <f t="shared" si="3"/>
        <v>0.40025590188267651</v>
      </c>
    </row>
    <row r="24" spans="1:13" x14ac:dyDescent="0.3">
      <c r="A24" s="30" t="s">
        <v>117</v>
      </c>
      <c r="B24" s="1">
        <f>'Table S12'!P9</f>
        <v>0.78720737398931462</v>
      </c>
      <c r="C24" s="1" t="s">
        <v>114</v>
      </c>
      <c r="D24" s="29">
        <f>'Table S12'!R9</f>
        <v>0.20534553216746546</v>
      </c>
      <c r="E24" s="1">
        <f>'Table S12'!P26</f>
        <v>-0.44113029149719635</v>
      </c>
      <c r="F24" s="1" t="s">
        <v>114</v>
      </c>
      <c r="G24" s="29">
        <f>'Table S12'!R26</f>
        <v>9.1122424919865538E-2</v>
      </c>
      <c r="H24" s="1">
        <f>'Table S12'!P18</f>
        <v>-7.0187788231026796E-2</v>
      </c>
      <c r="I24" s="1" t="s">
        <v>114</v>
      </c>
      <c r="J24" s="29">
        <f>'Table S12'!R18</f>
        <v>4.9033762128200861E-2</v>
      </c>
      <c r="K24" s="1">
        <f t="shared" si="2"/>
        <v>0.27588929426109149</v>
      </c>
      <c r="L24" s="1" t="s">
        <v>114</v>
      </c>
      <c r="M24" s="29">
        <f t="shared" si="3"/>
        <v>0.22994432746397792</v>
      </c>
    </row>
    <row r="25" spans="1:13" x14ac:dyDescent="0.3">
      <c r="A25" s="30" t="s">
        <v>74</v>
      </c>
      <c r="B25" s="1">
        <f>'Table S12'!P10</f>
        <v>1.7463216185425767</v>
      </c>
      <c r="C25" s="1" t="s">
        <v>114</v>
      </c>
      <c r="D25" s="29">
        <f>'Table S12'!R10</f>
        <v>0.48705572211421666</v>
      </c>
      <c r="E25" s="1">
        <f>'Table S12'!P27</f>
        <v>-0.26645448487583373</v>
      </c>
      <c r="F25" s="1" t="s">
        <v>114</v>
      </c>
      <c r="G25" s="29">
        <f>'Table S12'!R27</f>
        <v>7.4780293871605341E-2</v>
      </c>
      <c r="H25" s="1">
        <f>'Table S12'!P19</f>
        <v>-0.16655172587107903</v>
      </c>
      <c r="I25" s="1" t="s">
        <v>114</v>
      </c>
      <c r="J25" s="29">
        <f>'Table S12'!R19</f>
        <v>0.14912080667577832</v>
      </c>
      <c r="K25" s="1">
        <f t="shared" si="2"/>
        <v>1.3133154077956641</v>
      </c>
      <c r="L25" s="1" t="s">
        <v>114</v>
      </c>
      <c r="M25" s="29">
        <f t="shared" si="3"/>
        <v>0.5148323841595045</v>
      </c>
    </row>
    <row r="26" spans="1:13" x14ac:dyDescent="0.3">
      <c r="A26" s="3" t="s">
        <v>118</v>
      </c>
      <c r="B26" s="1">
        <f>'Table S12'!O11</f>
        <v>0.34459310344827598</v>
      </c>
      <c r="C26" s="1" t="s">
        <v>114</v>
      </c>
      <c r="D26" s="29">
        <f>'Table S12'!R11</f>
        <v>6.461120689655174E-2</v>
      </c>
      <c r="E26" s="1"/>
      <c r="F26" s="1"/>
      <c r="G26" s="29"/>
      <c r="H26" s="1"/>
      <c r="I26" s="1"/>
      <c r="J26" s="29"/>
      <c r="K26" s="1">
        <f t="shared" si="2"/>
        <v>0.34459310344827598</v>
      </c>
      <c r="L26" s="1" t="s">
        <v>114</v>
      </c>
      <c r="M26" s="29">
        <v>0.05</v>
      </c>
    </row>
    <row r="27" spans="1:13" x14ac:dyDescent="0.3">
      <c r="A27" s="3" t="s">
        <v>157</v>
      </c>
      <c r="B27" s="62" t="s">
        <v>158</v>
      </c>
      <c r="C27" s="1" t="s">
        <v>114</v>
      </c>
      <c r="D27" s="29" t="s">
        <v>159</v>
      </c>
      <c r="E27" s="1"/>
      <c r="F27" s="1"/>
      <c r="G27" s="29"/>
      <c r="H27" s="1"/>
      <c r="I27" s="1"/>
      <c r="J27" s="29"/>
      <c r="K27" s="62" t="s">
        <v>158</v>
      </c>
      <c r="L27" s="1" t="s">
        <v>114</v>
      </c>
      <c r="M27" s="29" t="s">
        <v>159</v>
      </c>
    </row>
    <row r="28" spans="1:13" x14ac:dyDescent="0.3">
      <c r="A28" s="3" t="s">
        <v>112</v>
      </c>
      <c r="B28" s="1">
        <f>SUM(B21:B26)</f>
        <v>4.9829690337310302</v>
      </c>
      <c r="C28" s="1" t="s">
        <v>114</v>
      </c>
      <c r="D28" s="29">
        <f>'Table S12'!R12</f>
        <v>1.0189736714166859</v>
      </c>
      <c r="E28" s="1">
        <f>SUM(E21:E26)</f>
        <v>-1.2533331194017101</v>
      </c>
      <c r="F28" s="1" t="s">
        <v>114</v>
      </c>
      <c r="G28" s="29">
        <f>'Table S12'!R28</f>
        <v>0.29445468063154423</v>
      </c>
      <c r="H28" s="1">
        <f>SUM(H21:H26)</f>
        <v>-0.57407229050224085</v>
      </c>
      <c r="I28" s="1" t="s">
        <v>114</v>
      </c>
      <c r="J28" s="29">
        <f>'Table S12'!R20</f>
        <v>0.39082198909706445</v>
      </c>
      <c r="K28" s="1">
        <f t="shared" si="2"/>
        <v>3.1555636238270788</v>
      </c>
      <c r="L28" s="1" t="s">
        <v>114</v>
      </c>
      <c r="M28" s="29">
        <f t="shared" ref="M28" si="4">SQRT(D28^2+G28^2+J28^2)</f>
        <v>1.1303772508096626</v>
      </c>
    </row>
    <row r="30" spans="1:13" x14ac:dyDescent="0.3">
      <c r="A30" s="3" t="s">
        <v>29</v>
      </c>
      <c r="B30" t="s">
        <v>138</v>
      </c>
    </row>
  </sheetData>
  <mergeCells count="8">
    <mergeCell ref="B3:D3"/>
    <mergeCell ref="E3:G3"/>
    <mergeCell ref="H3:J3"/>
    <mergeCell ref="K3:M3"/>
    <mergeCell ref="B20:D20"/>
    <mergeCell ref="E20:G20"/>
    <mergeCell ref="H20:J20"/>
    <mergeCell ref="K20:M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workbookViewId="0"/>
  </sheetViews>
  <sheetFormatPr defaultRowHeight="14.4" x14ac:dyDescent="0.3"/>
  <sheetData>
    <row r="1" spans="1:16" x14ac:dyDescent="0.3">
      <c r="A1" s="3" t="s">
        <v>145</v>
      </c>
    </row>
    <row r="3" spans="1:16"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6" x14ac:dyDescent="0.3">
      <c r="A4" s="6" t="s">
        <v>11</v>
      </c>
      <c r="B4" s="7">
        <f>'Table S2'!B4/'Table S1'!B4</f>
        <v>8.7002378786818717</v>
      </c>
      <c r="C4" s="7">
        <f>'Table S2'!C4/'Table S1'!C4</f>
        <v>10.875843838070477</v>
      </c>
      <c r="D4" s="7">
        <f>'Table S2'!D4/'Table S1'!D4</f>
        <v>10.435612416107382</v>
      </c>
      <c r="E4" s="7">
        <f>'Table S2'!E4/'Table S1'!E4</f>
        <v>9.0201179962622309</v>
      </c>
      <c r="F4" s="7"/>
      <c r="G4" s="7">
        <f>'Table S2'!G4/'Table S1'!G4</f>
        <v>11.1974837115255</v>
      </c>
      <c r="H4" s="7">
        <f>'Table S2'!H4/'Table S1'!H4</f>
        <v>11.862857142857141</v>
      </c>
      <c r="I4" s="7">
        <f>'Table S2'!I4/'Table S1'!I4</f>
        <v>10.379685964582157</v>
      </c>
      <c r="J4" s="7">
        <f>'Table S2'!J4/'Table S1'!J4</f>
        <v>10.024596131520436</v>
      </c>
      <c r="K4" s="7">
        <f>'Table S2'!K4/'Table S1'!K4</f>
        <v>6.1872750899640145</v>
      </c>
      <c r="L4" s="7">
        <f>'Table S2'!L4/'Table S1'!L4</f>
        <v>9.3077754841246438</v>
      </c>
      <c r="M4" s="7">
        <f>'Table S2'!M4/'Table S1'!M4</f>
        <v>12.496679281221022</v>
      </c>
      <c r="O4" s="8">
        <f>AVERAGE(B4:E4)</f>
        <v>9.7579530322804899</v>
      </c>
      <c r="P4" s="8">
        <f>AVERAGE(B4:M4)</f>
        <v>10.044378630446989</v>
      </c>
    </row>
    <row r="5" spans="1:16" x14ac:dyDescent="0.3">
      <c r="A5" s="6" t="s">
        <v>12</v>
      </c>
      <c r="B5" s="7">
        <f>'Table S2'!B5/'Table S1'!B5</f>
        <v>8.7056158790237621</v>
      </c>
      <c r="C5" s="7">
        <f>'Table S2'!C5/'Table S1'!C5</f>
        <v>10.888080291488752</v>
      </c>
      <c r="D5" s="7">
        <f>'Table S2'!D5/'Table S1'!D5</f>
        <v>10.446884271197748</v>
      </c>
      <c r="E5" s="7">
        <f>'Table S2'!E5/'Table S1'!E5</f>
        <v>9.036700800871964</v>
      </c>
      <c r="F5" s="7"/>
      <c r="G5" s="7"/>
      <c r="H5" s="7"/>
      <c r="I5" s="7"/>
      <c r="J5" s="7"/>
      <c r="K5" s="7"/>
      <c r="L5" s="7"/>
      <c r="M5" s="7"/>
      <c r="N5" s="2"/>
      <c r="O5" s="8">
        <f t="shared" ref="O5:O21" si="0">AVERAGE(B5:E5)</f>
        <v>9.7693203106455559</v>
      </c>
      <c r="P5" s="8">
        <f t="shared" ref="P5:P21" si="1">AVERAGE(B5:M5)</f>
        <v>9.7693203106455559</v>
      </c>
    </row>
    <row r="6" spans="1:16" x14ac:dyDescent="0.3">
      <c r="A6" s="6" t="s">
        <v>13</v>
      </c>
      <c r="B6" s="7">
        <f>'Table S2'!B6/'Table S1'!B6</f>
        <v>8.0673154906731561</v>
      </c>
      <c r="C6" s="7">
        <f>'Table S2'!C6/'Table S1'!C6</f>
        <v>10.155843493342855</v>
      </c>
      <c r="D6" s="7">
        <f>'Table S2'!D6/'Table S1'!D6</f>
        <v>9.8160023677979478</v>
      </c>
      <c r="E6" s="7">
        <f>'Table S2'!E6/'Table S1'!E6</f>
        <v>8.3680695430933962</v>
      </c>
      <c r="F6" s="7"/>
      <c r="G6" s="7">
        <f>'Table S2'!G6/'Table S1'!G6</f>
        <v>10.557864915671582</v>
      </c>
      <c r="H6" s="7">
        <f>'Table S2'!H6/'Table S1'!H6</f>
        <v>11.16096686552951</v>
      </c>
      <c r="I6" s="7">
        <f>'Table S2'!I6/'Table S1'!I6</f>
        <v>9.7754244576033802</v>
      </c>
      <c r="J6" s="7">
        <f>'Table S2'!J6/'Table S1'!J6</f>
        <v>9.4357751435451007</v>
      </c>
      <c r="K6" s="7">
        <f>'Table S2'!K6/'Table S1'!K6</f>
        <v>5.7801532053709259</v>
      </c>
      <c r="L6" s="7">
        <f>'Table S2'!L6/'Table S1'!L6</f>
        <v>8.773831862302222</v>
      </c>
      <c r="M6" s="7">
        <f>'Table S2'!M6/'Table S1'!M6</f>
        <v>11.866317636909896</v>
      </c>
      <c r="O6" s="8">
        <f t="shared" si="0"/>
        <v>9.1018077237268393</v>
      </c>
      <c r="P6" s="8">
        <f t="shared" si="1"/>
        <v>9.432505907439996</v>
      </c>
    </row>
    <row r="7" spans="1:16" x14ac:dyDescent="0.3">
      <c r="A7" s="6" t="s">
        <v>14</v>
      </c>
      <c r="B7" s="7">
        <f>'Table S2'!B7/'Table S1'!B7</f>
        <v>8.7245014294985364</v>
      </c>
      <c r="C7" s="7">
        <f>'Table S2'!C7/'Table S1'!C7</f>
        <v>10.896316238755006</v>
      </c>
      <c r="D7" s="7">
        <f>'Table S2'!D7/'Table S1'!D7</f>
        <v>10.470749158249157</v>
      </c>
      <c r="E7" s="7">
        <f>'Table S2'!E7/'Table S1'!E7</f>
        <v>9.0486343418005379</v>
      </c>
      <c r="F7" s="7"/>
      <c r="G7" s="7">
        <f>'Table S2'!G7/'Table S1'!G7</f>
        <v>11.228006938655973</v>
      </c>
      <c r="H7" s="7">
        <f>'Table S2'!H7/'Table S1'!H7</f>
        <v>11.912207717687561</v>
      </c>
      <c r="I7" s="7">
        <f>'Table S2'!I7/'Table S1'!I7</f>
        <v>10.419333851029446</v>
      </c>
      <c r="J7" s="7">
        <f>'Table S2'!J7/'Table S1'!J7</f>
        <v>10.054271674133135</v>
      </c>
      <c r="K7" s="7"/>
      <c r="L7" s="7">
        <f>'Table S2'!L7/'Table S1'!L7</f>
        <v>9.3371462380435837</v>
      </c>
      <c r="M7" s="7">
        <f>'Table S2'!M7/'Table S1'!M7</f>
        <v>12.555521982172534</v>
      </c>
      <c r="O7" s="8">
        <f t="shared" si="0"/>
        <v>9.7850502920758089</v>
      </c>
      <c r="P7" s="8">
        <f t="shared" si="1"/>
        <v>10.464668957002548</v>
      </c>
    </row>
    <row r="8" spans="1:16" x14ac:dyDescent="0.3">
      <c r="A8" s="6" t="s">
        <v>15</v>
      </c>
      <c r="B8" s="7">
        <f>'Table S2'!B8/'Table S1'!B8</f>
        <v>8.7364538508825849</v>
      </c>
      <c r="C8" s="7">
        <f>'Table S2'!C8/'Table S1'!C8</f>
        <v>10.91136244082062</v>
      </c>
      <c r="D8" s="7">
        <f>'Table S2'!D8/'Table S1'!D8</f>
        <v>10.496150195127095</v>
      </c>
      <c r="E8" s="7">
        <f>'Table S2'!E8/'Table S1'!E8</f>
        <v>9.0601247768555488</v>
      </c>
      <c r="F8" s="7"/>
      <c r="G8" s="7">
        <f>'Table S2'!G8/'Table S1'!G8</f>
        <v>11.254375070565654</v>
      </c>
      <c r="H8" s="7">
        <f>'Table S2'!H8/'Table S1'!H8</f>
        <v>11.940470199151628</v>
      </c>
      <c r="I8" s="7">
        <f>'Table S2'!I8/'Table S1'!I8</f>
        <v>10.457963809483685</v>
      </c>
      <c r="J8" s="7">
        <f>'Table S2'!J8/'Table S1'!J8</f>
        <v>10.072958063942108</v>
      </c>
      <c r="K8" s="7"/>
      <c r="L8" s="7">
        <f>'Table S2'!L8/'Table S1'!L8</f>
        <v>9.3509776812166692</v>
      </c>
      <c r="M8" s="7">
        <f>'Table S2'!M8/'Table S1'!M8</f>
        <v>12.603442610519931</v>
      </c>
      <c r="O8" s="8">
        <f t="shared" si="0"/>
        <v>9.8010228159214634</v>
      </c>
      <c r="P8" s="8">
        <f t="shared" si="1"/>
        <v>10.488427869856553</v>
      </c>
    </row>
    <row r="9" spans="1:16" x14ac:dyDescent="0.3">
      <c r="A9" s="6" t="s">
        <v>16</v>
      </c>
      <c r="B9" s="7">
        <f>'Table S2'!B9/'Table S1'!B9</f>
        <v>8.7226654975887783</v>
      </c>
      <c r="C9" s="7">
        <f>'Table S2'!C9/'Table S1'!C9</f>
        <v>10.902281985020366</v>
      </c>
      <c r="D9" s="7">
        <f>'Table S2'!D9/'Table S1'!D9</f>
        <v>10.467224840121171</v>
      </c>
      <c r="E9" s="7">
        <f>'Table S2'!E9/'Table S1'!E9</f>
        <v>9.0454754248966474</v>
      </c>
      <c r="F9" s="7"/>
      <c r="G9" s="7">
        <f>'Table S2'!G9/'Table S1'!G9</f>
        <v>11.222697590632739</v>
      </c>
      <c r="H9" s="7">
        <f>'Table S2'!H9/'Table S1'!H9</f>
        <v>11.897984525742668</v>
      </c>
      <c r="I9" s="7">
        <f>'Table S2'!I9/'Table S1'!I9</f>
        <v>10.419771224682549</v>
      </c>
      <c r="J9" s="7">
        <f>'Table S2'!J9/'Table S1'!J9</f>
        <v>10.049511786172207</v>
      </c>
      <c r="K9" s="7"/>
      <c r="L9" s="7">
        <f>'Table S2'!L9/'Table S1'!L9</f>
        <v>9.3330967729217171</v>
      </c>
      <c r="M9" s="7">
        <f>'Table S2'!M9/'Table S1'!M9</f>
        <v>12.575153838394028</v>
      </c>
      <c r="O9" s="8">
        <f t="shared" si="0"/>
        <v>9.7844119369067393</v>
      </c>
      <c r="P9" s="8">
        <f t="shared" si="1"/>
        <v>10.463586348617287</v>
      </c>
    </row>
    <row r="10" spans="1:16" x14ac:dyDescent="0.3">
      <c r="A10" s="6" t="s">
        <v>17</v>
      </c>
      <c r="B10" s="7">
        <f>'Table S2'!B10/'Table S1'!B10</f>
        <v>8.7280224600807177</v>
      </c>
      <c r="C10" s="7">
        <f>'Table S2'!C10/'Table S1'!C10</f>
        <v>10.914233096553538</v>
      </c>
      <c r="D10" s="7">
        <f>'Table S2'!D10/'Table S1'!D10</f>
        <v>10.475378429019557</v>
      </c>
      <c r="E10" s="7">
        <f>'Table S2'!E10/'Table S1'!E10</f>
        <v>9.0529606472968016</v>
      </c>
      <c r="F10" s="7"/>
      <c r="G10" s="7">
        <f>'Table S2'!G10/'Table S1'!G10</f>
        <v>11.237120375171918</v>
      </c>
      <c r="H10" s="7">
        <f>'Table S2'!H10/'Table S1'!H10</f>
        <v>11.913631907414935</v>
      </c>
      <c r="I10" s="7">
        <f>'Table S2'!I10/'Table S1'!I10</f>
        <v>10.433348044469664</v>
      </c>
      <c r="J10" s="7">
        <f>'Table S2'!J10/'Table S1'!J10</f>
        <v>10.062811092675991</v>
      </c>
      <c r="K10" s="7"/>
      <c r="L10" s="7">
        <f>'Table S2'!L10/'Table S1'!L10</f>
        <v>9.33677795965054</v>
      </c>
      <c r="M10" s="7">
        <f>'Table S2'!M10/'Table S1'!M10</f>
        <v>12.582452244568371</v>
      </c>
      <c r="O10" s="8">
        <f t="shared" si="0"/>
        <v>9.7926486582376526</v>
      </c>
      <c r="P10" s="8">
        <f t="shared" si="1"/>
        <v>10.473673625690202</v>
      </c>
    </row>
    <row r="11" spans="1:16" x14ac:dyDescent="0.3">
      <c r="A11" s="6" t="s">
        <v>18</v>
      </c>
      <c r="B11" s="7">
        <f>'Table S2'!B11/'Table S1'!B11</f>
        <v>8.9107960364271896</v>
      </c>
      <c r="C11" s="7">
        <f>'Table S2'!C11/'Table S1'!C11</f>
        <v>11.231095360595182</v>
      </c>
      <c r="D11" s="7">
        <f>'Table S2'!D11/'Table S1'!D11</f>
        <v>10.785904761065753</v>
      </c>
      <c r="E11" s="7">
        <f>'Table S2'!E11/'Table S1'!E11</f>
        <v>9.269560880904578</v>
      </c>
      <c r="F11" s="7"/>
      <c r="G11" s="7"/>
      <c r="H11" s="7"/>
      <c r="I11" s="7"/>
      <c r="J11" s="7"/>
      <c r="K11" s="7"/>
      <c r="L11" s="7"/>
      <c r="M11" s="7"/>
      <c r="N11" s="2"/>
      <c r="O11" s="8">
        <f t="shared" si="0"/>
        <v>10.049339259748175</v>
      </c>
      <c r="P11" s="8">
        <f t="shared" si="1"/>
        <v>10.049339259748175</v>
      </c>
    </row>
    <row r="12" spans="1:16" x14ac:dyDescent="0.3">
      <c r="A12" s="6" t="s">
        <v>19</v>
      </c>
      <c r="B12" s="7">
        <f>'Table S2'!B12/'Table S1'!B12</f>
        <v>8.6906613086398181</v>
      </c>
      <c r="C12" s="7">
        <f>'Table S2'!C12/'Table S1'!C12</f>
        <v>10.877745001638807</v>
      </c>
      <c r="D12" s="7">
        <f>'Table S2'!D12/'Table S1'!D12</f>
        <v>10.431674284037065</v>
      </c>
      <c r="E12" s="7">
        <f>'Table S2'!E12/'Table S1'!E12</f>
        <v>9.0062566316636783</v>
      </c>
      <c r="F12" s="7"/>
      <c r="G12" s="7">
        <f>'Table S2'!G12/'Table S1'!G12</f>
        <v>11.187429854096521</v>
      </c>
      <c r="H12" s="7">
        <f>'Table S2'!H12/'Table S1'!H12</f>
        <v>11.817836812144211</v>
      </c>
      <c r="I12" s="7">
        <f>'Table S2'!I12/'Table S1'!I12</f>
        <v>10.376214860486989</v>
      </c>
      <c r="J12" s="7">
        <f>'Table S2'!J12/'Table S1'!J12</f>
        <v>10.020652622883107</v>
      </c>
      <c r="K12" s="7">
        <f>'Table S2'!K12/'Table S1'!K12</f>
        <v>6.1853429431530031</v>
      </c>
      <c r="L12" s="7">
        <f>'Table S2'!L12/'Table S1'!L12</f>
        <v>9.3041171268546705</v>
      </c>
      <c r="M12" s="7">
        <f>'Table S2'!M12/'Table S1'!M12</f>
        <v>12.473545966228894</v>
      </c>
      <c r="O12" s="8">
        <f t="shared" si="0"/>
        <v>9.7515843064948413</v>
      </c>
      <c r="P12" s="8">
        <f t="shared" si="1"/>
        <v>10.033770673802433</v>
      </c>
    </row>
    <row r="13" spans="1:16" x14ac:dyDescent="0.3">
      <c r="A13" s="6" t="s">
        <v>20</v>
      </c>
      <c r="B13" s="7">
        <f>'Table S2'!B13/'Table S1'!B13</f>
        <v>8.6941550723624417</v>
      </c>
      <c r="C13" s="7">
        <f>'Table S2'!C13/'Table S1'!C13</f>
        <v>10.877745001638807</v>
      </c>
      <c r="D13" s="7">
        <f>'Table S2'!D13/'Table S1'!D13</f>
        <v>10.434299375078639</v>
      </c>
      <c r="E13" s="7">
        <f>'Table S2'!E13/'Table S1'!E13</f>
        <v>9.0151626135364769</v>
      </c>
      <c r="F13" s="7"/>
      <c r="G13" s="7">
        <f>'Table S2'!G13/'Table S1'!G13</f>
        <v>11.189187975663964</v>
      </c>
      <c r="H13" s="7">
        <f>'Table S2'!H13/'Table S1'!H13</f>
        <v>11.834398232821073</v>
      </c>
      <c r="I13" s="7">
        <f>'Table S2'!I13/'Table S1'!I13</f>
        <v>10.371012555098289</v>
      </c>
      <c r="J13" s="7">
        <f>'Table S2'!J13/'Table S1'!J13</f>
        <v>10.020258442656807</v>
      </c>
      <c r="K13" s="7">
        <f>'Table S2'!K13/'Table S1'!K13</f>
        <v>6.1864247966717896</v>
      </c>
      <c r="L13" s="7">
        <f>'Table S2'!L13/'Table S1'!L13</f>
        <v>9.3055801246142646</v>
      </c>
      <c r="M13" s="7">
        <f>'Table S2'!M13/'Table S1'!M13</f>
        <v>12.480414487022253</v>
      </c>
      <c r="O13" s="8">
        <f t="shared" si="0"/>
        <v>9.7553405156540904</v>
      </c>
      <c r="P13" s="8">
        <f t="shared" si="1"/>
        <v>10.037148970651346</v>
      </c>
    </row>
    <row r="14" spans="1:16" x14ac:dyDescent="0.3">
      <c r="A14" s="6" t="s">
        <v>21</v>
      </c>
      <c r="B14" s="7">
        <f>'Table S2'!B14/'Table S1'!B14</f>
        <v>8.6940031111810256</v>
      </c>
      <c r="C14" s="7">
        <f>'Table S2'!C14/'Table S1'!C14</f>
        <v>10.87489350547218</v>
      </c>
      <c r="D14" s="7">
        <f>'Table S2'!D14/'Table S1'!D14</f>
        <v>10.43233043295943</v>
      </c>
      <c r="E14" s="7">
        <f>'Table S2'!E14/'Table S1'!E14</f>
        <v>9.011367172484487</v>
      </c>
      <c r="F14" s="7"/>
      <c r="G14" s="7">
        <f>'Table S2'!G14/'Table S1'!G14</f>
        <v>11.192454525039299</v>
      </c>
      <c r="H14" s="7">
        <f>'Table S2'!H14/'Table S1'!H14</f>
        <v>11.851569933396764</v>
      </c>
      <c r="I14" s="7">
        <f>'Table S2'!I14/'Table S1'!I14</f>
        <v>10.375130616509926</v>
      </c>
      <c r="J14" s="7">
        <f>'Table S2'!J14/'Table S1'!J14</f>
        <v>10.020849724626279</v>
      </c>
      <c r="K14" s="7">
        <f>'Table S2'!K14/'Table S1'!K14</f>
        <v>6.1865020864046381</v>
      </c>
      <c r="L14" s="7">
        <f>'Table S2'!L14/'Table S1'!L14</f>
        <v>9.3041171268546705</v>
      </c>
      <c r="M14" s="7">
        <f>'Table S2'!M14/'Table S1'!M14</f>
        <v>12.485727163461538</v>
      </c>
      <c r="O14" s="8">
        <f t="shared" si="0"/>
        <v>9.7531485555242803</v>
      </c>
      <c r="P14" s="8">
        <f t="shared" si="1"/>
        <v>10.038995036217292</v>
      </c>
    </row>
    <row r="15" spans="1:16" x14ac:dyDescent="0.3">
      <c r="A15" s="6" t="s">
        <v>22</v>
      </c>
      <c r="B15" s="7">
        <f>'Table S2'!B15/'Table S1'!B15</f>
        <v>8.6932433849487936</v>
      </c>
      <c r="C15" s="7">
        <f>'Table S2'!C15/'Table S1'!C15</f>
        <v>10.879171310561857</v>
      </c>
      <c r="D15" s="7">
        <f>'Table S2'!D15/'Table S1'!D15</f>
        <v>10.434518192303658</v>
      </c>
      <c r="E15" s="7">
        <f>'Table S2'!E15/'Table S1'!E15</f>
        <v>9.0098828696925342</v>
      </c>
      <c r="F15" s="7"/>
      <c r="G15" s="7">
        <f>'Table S2'!G15/'Table S1'!G15</f>
        <v>11.191197934209049</v>
      </c>
      <c r="H15" s="7">
        <f>'Table S2'!H15/'Table S1'!H15</f>
        <v>11.847624482807817</v>
      </c>
      <c r="I15" s="7">
        <f>'Table S2'!I15/'Table S1'!I15</f>
        <v>10.373829822801738</v>
      </c>
      <c r="J15" s="7">
        <f>'Table S2'!J15/'Table S1'!J15</f>
        <v>10.023412753064317</v>
      </c>
      <c r="K15" s="7">
        <f>'Table S2'!K15/'Table S1'!K15</f>
        <v>6.1870431686137319</v>
      </c>
      <c r="L15" s="7">
        <f>'Table S2'!L15/'Table S1'!L15</f>
        <v>9.3052143320426879</v>
      </c>
      <c r="M15" s="7">
        <f>'Table S2'!M15/'Table S1'!M15</f>
        <v>12.47978976348392</v>
      </c>
      <c r="O15" s="8">
        <f t="shared" si="0"/>
        <v>9.7542039393767102</v>
      </c>
      <c r="P15" s="8">
        <f t="shared" si="1"/>
        <v>10.038629819502738</v>
      </c>
    </row>
    <row r="16" spans="1:16" x14ac:dyDescent="0.3">
      <c r="A16" s="6" t="s">
        <v>23</v>
      </c>
      <c r="B16" s="7">
        <f>'Table S2'!B16/'Table S1'!B16</f>
        <v>8.6614184320587757</v>
      </c>
      <c r="C16" s="7">
        <f>'Table S2'!C16/'Table S1'!C16</f>
        <v>10.888378306627777</v>
      </c>
      <c r="D16" s="7">
        <f>'Table S2'!D16/'Table S1'!D16</f>
        <v>10.430679785264383</v>
      </c>
      <c r="E16" s="7">
        <f>'Table S2'!E16/'Table S1'!E16</f>
        <v>8.9615170830853508</v>
      </c>
      <c r="F16" s="7"/>
      <c r="G16" s="7"/>
      <c r="H16" s="7"/>
      <c r="I16" s="7"/>
      <c r="J16" s="7"/>
      <c r="K16" s="7"/>
      <c r="L16" s="7"/>
      <c r="M16" s="7"/>
      <c r="N16" s="2"/>
      <c r="O16" s="8">
        <f t="shared" si="0"/>
        <v>9.7354984017590702</v>
      </c>
      <c r="P16" s="8">
        <f t="shared" si="1"/>
        <v>9.7354984017590702</v>
      </c>
    </row>
    <row r="17" spans="1:16" x14ac:dyDescent="0.3">
      <c r="A17" s="6" t="s">
        <v>24</v>
      </c>
      <c r="B17" s="7">
        <f>'Table S2'!B17/'Table S1'!B17</f>
        <v>8.6862601285275218</v>
      </c>
      <c r="C17" s="7">
        <f>'Table S2'!C17/'Table S1'!C17</f>
        <v>10.84764229059531</v>
      </c>
      <c r="D17" s="7">
        <f>'Table S2'!D17/'Table S1'!D17</f>
        <v>10.412681803913362</v>
      </c>
      <c r="E17" s="7">
        <f>'Table S2'!E17/'Table S1'!E17</f>
        <v>9.0075749258974653</v>
      </c>
      <c r="F17" s="7"/>
      <c r="G17" s="7">
        <f>'Table S2'!G17/'Table S1'!G17</f>
        <v>11.18768098049339</v>
      </c>
      <c r="H17" s="7">
        <f>'Table S2'!H17/'Table S1'!H17</f>
        <v>11.839741457155078</v>
      </c>
      <c r="I17" s="7">
        <f>'Table S2'!I17/'Table S1'!I17</f>
        <v>10.356300978367441</v>
      </c>
      <c r="J17" s="7">
        <f>'Table S2'!J17/'Table S1'!J17</f>
        <v>10.010807411919593</v>
      </c>
      <c r="K17" s="7">
        <f>'Table S2'!K17/'Table S1'!K17</f>
        <v>6.1807878576064708</v>
      </c>
      <c r="L17" s="7">
        <f>'Table S2'!L17/'Table S1'!L17</f>
        <v>9.2975393256220418</v>
      </c>
      <c r="M17" s="7">
        <f>'Table S2'!M17/'Table S1'!M17</f>
        <v>12.470738295318128</v>
      </c>
      <c r="O17" s="8">
        <f t="shared" si="0"/>
        <v>9.7385397872334138</v>
      </c>
      <c r="P17" s="8">
        <f t="shared" si="1"/>
        <v>10.027068677765074</v>
      </c>
    </row>
    <row r="18" spans="1:16" x14ac:dyDescent="0.3">
      <c r="A18" s="6" t="s">
        <v>25</v>
      </c>
      <c r="B18" s="7">
        <f>'Table S2'!B18/'Table S1'!B18</f>
        <v>8.680954292396029</v>
      </c>
      <c r="C18" s="7">
        <f>'Table S2'!C18/'Table S1'!C18</f>
        <v>10.832535468709199</v>
      </c>
      <c r="D18" s="7">
        <f>'Table S2'!D18/'Table S1'!D18</f>
        <v>10.414207375779649</v>
      </c>
      <c r="E18" s="7">
        <f>'Table S2'!E18/'Table S1'!E18</f>
        <v>9.0039505450288981</v>
      </c>
      <c r="F18" s="7"/>
      <c r="G18" s="7">
        <f>'Table S2'!G18/'Table S1'!G18</f>
        <v>11.190695376877652</v>
      </c>
      <c r="H18" s="7">
        <f>'Table S2'!H18/'Table S1'!H18</f>
        <v>11.828217363435652</v>
      </c>
      <c r="I18" s="7">
        <f>'Table S2'!I18/'Table S1'!I18</f>
        <v>10.350902798048455</v>
      </c>
      <c r="J18" s="7">
        <f>'Table S2'!J18/'Table S1'!J18</f>
        <v>10.009823954731218</v>
      </c>
      <c r="K18" s="7">
        <f>'Table S2'!K18/'Table S1'!K18</f>
        <v>6.1797079745413708</v>
      </c>
      <c r="L18" s="7">
        <f>'Table S2'!L18/'Table S1'!L18</f>
        <v>9.2931592894297772</v>
      </c>
      <c r="M18" s="7">
        <f>'Table S2'!M18/'Table S1'!M18</f>
        <v>12.45952023988006</v>
      </c>
      <c r="O18" s="8">
        <f t="shared" si="0"/>
        <v>9.7329119204784433</v>
      </c>
      <c r="P18" s="8">
        <f t="shared" si="1"/>
        <v>10.022152243532544</v>
      </c>
    </row>
    <row r="19" spans="1:16" x14ac:dyDescent="0.3">
      <c r="A19" s="6" t="s">
        <v>26</v>
      </c>
      <c r="B19" s="7">
        <f>'Table S2'!B19/'Table S1'!B19</f>
        <v>8.6885360442977166</v>
      </c>
      <c r="C19" s="7">
        <f>'Table S2'!C19/'Table S1'!C19</f>
        <v>10.852608401822502</v>
      </c>
      <c r="D19" s="7">
        <f>'Table S2'!D19/'Table S1'!D19</f>
        <v>10.420750607355281</v>
      </c>
      <c r="E19" s="7">
        <f>'Table S2'!E19/'Table S1'!E19</f>
        <v>9.0079045597599361</v>
      </c>
      <c r="F19" s="7"/>
      <c r="G19" s="7">
        <f>'Table S2'!G19/'Table S1'!G19</f>
        <v>11.178396806172341</v>
      </c>
      <c r="H19" s="7">
        <f>'Table S2'!H19/'Table S1'!H19</f>
        <v>11.834398232821073</v>
      </c>
      <c r="I19" s="7">
        <f>'Table S2'!I19/'Table S1'!I19</f>
        <v>10.358245701886164</v>
      </c>
      <c r="J19" s="7">
        <f>'Table S2'!J19/'Table S1'!J19</f>
        <v>10.006285108221709</v>
      </c>
      <c r="K19" s="7">
        <f>'Table S2'!K19/'Table S1'!K19</f>
        <v>6.1793995058277389</v>
      </c>
      <c r="L19" s="7">
        <f>'Table S2'!L19/'Table S1'!L19</f>
        <v>9.2982697330950366</v>
      </c>
      <c r="M19" s="7">
        <f>'Table S2'!M19/'Table S1'!M19</f>
        <v>12.475730584467573</v>
      </c>
      <c r="O19" s="8">
        <f t="shared" si="0"/>
        <v>9.7424499033088594</v>
      </c>
      <c r="P19" s="8">
        <f t="shared" si="1"/>
        <v>10.027320480520643</v>
      </c>
    </row>
    <row r="20" spans="1:16" x14ac:dyDescent="0.3">
      <c r="A20" s="6" t="s">
        <v>27</v>
      </c>
      <c r="B20" s="7">
        <f>'Table S2'!B20/'Table S1'!B20</f>
        <v>8.6818634039062381</v>
      </c>
      <c r="C20" s="7">
        <f>'Table S2'!C20/'Table S1'!C20</f>
        <v>10.815590510124272</v>
      </c>
      <c r="D20" s="7">
        <f>'Table S2'!D20/'Table S1'!D20</f>
        <v>10.412028124215285</v>
      </c>
      <c r="E20" s="7">
        <f>'Table S2'!E20/'Table S1'!E20</f>
        <v>9.0011518841533658</v>
      </c>
      <c r="F20" s="7"/>
      <c r="G20" s="7">
        <f>'Table S2'!G20/'Table S1'!G20</f>
        <v>11.175138456019193</v>
      </c>
      <c r="H20" s="7">
        <f>'Table S2'!H20/'Table S1'!H20</f>
        <v>11.813353566009104</v>
      </c>
      <c r="I20" s="7">
        <f>'Table S2'!I20/'Table S1'!I20</f>
        <v>10.334741969731665</v>
      </c>
      <c r="J20" s="7">
        <f>'Table S2'!J20/'Table S1'!J20</f>
        <v>10.000000000000002</v>
      </c>
      <c r="K20" s="7">
        <f>'Table S2'!K20/'Table S1'!K20</f>
        <v>6.1777034782174765</v>
      </c>
      <c r="L20" s="7">
        <f>'Table S2'!L20/'Table S1'!L20</f>
        <v>9.2938890088533785</v>
      </c>
      <c r="M20" s="7">
        <f>'Table S2'!M20/'Table S1'!M20</f>
        <v>12.462322861213167</v>
      </c>
      <c r="O20" s="8">
        <f t="shared" si="0"/>
        <v>9.7276584805997892</v>
      </c>
      <c r="P20" s="8">
        <f t="shared" si="1"/>
        <v>10.015253023858468</v>
      </c>
    </row>
    <row r="21" spans="1:16" x14ac:dyDescent="0.3">
      <c r="A21" s="6" t="s">
        <v>28</v>
      </c>
      <c r="B21" s="7">
        <f>'Table S2'!B21/'Table S1'!B21</f>
        <v>8.6114663461926746</v>
      </c>
      <c r="C21" s="7">
        <f>'Table S2'!C21/'Table S1'!C21</f>
        <v>10.517620681293911</v>
      </c>
      <c r="D21" s="7">
        <f>'Table S2'!D21/'Table S1'!D21</f>
        <v>10.328061875911262</v>
      </c>
      <c r="E21" s="7">
        <f>'Table S2'!E21/'Table S1'!E21</f>
        <v>8.943529248314551</v>
      </c>
      <c r="F21" s="7"/>
      <c r="G21" s="7"/>
      <c r="H21" s="7"/>
      <c r="I21" s="7"/>
      <c r="J21" s="7"/>
      <c r="K21" s="7"/>
      <c r="L21" s="7"/>
      <c r="M21" s="7"/>
      <c r="N21" s="2"/>
      <c r="O21" s="8">
        <f t="shared" si="0"/>
        <v>9.6001695379280996</v>
      </c>
      <c r="P21" s="8">
        <f t="shared" si="1"/>
        <v>9.6001695379280996</v>
      </c>
    </row>
    <row r="23" spans="1:16" x14ac:dyDescent="0.3">
      <c r="A23" s="6" t="s">
        <v>29</v>
      </c>
      <c r="B23" s="4" t="s">
        <v>36</v>
      </c>
    </row>
    <row r="24" spans="1:16" x14ac:dyDescent="0.3">
      <c r="B24" s="4" t="s">
        <v>37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workbookViewId="0"/>
  </sheetViews>
  <sheetFormatPr defaultRowHeight="14.4" x14ac:dyDescent="0.3"/>
  <cols>
    <col min="1" max="1" width="22.33203125" customWidth="1"/>
  </cols>
  <sheetData>
    <row r="1" spans="1:16" x14ac:dyDescent="0.3">
      <c r="A1" s="3" t="s">
        <v>162</v>
      </c>
    </row>
    <row r="3" spans="1:16"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6" x14ac:dyDescent="0.3">
      <c r="A4" s="6" t="s">
        <v>11</v>
      </c>
      <c r="B4" s="7">
        <f>1/((1/'Table S3'!B4)+(1/$B$24)+(1/$B$25)+(1/$B$26))</f>
        <v>7.4107347713505023</v>
      </c>
      <c r="C4" s="7">
        <f>1/((1/'Table S3'!C4)+(1/$B$24)+(1/$B$25)+(1/$B$26))</f>
        <v>8.9328074588996103</v>
      </c>
      <c r="D4" s="7">
        <f>1/((1/'Table S3'!D4)+(1/$B$24)+(1/$B$25)+(1/$B$26))</f>
        <v>8.6336615109124537</v>
      </c>
      <c r="E4" s="7">
        <f>1/((1/'Table S3'!E4)+(1/$B$24)+(1/$B$25)+(1/$B$26))</f>
        <v>7.6415621507512732</v>
      </c>
      <c r="F4" s="7"/>
      <c r="G4" s="7">
        <f>1/((1/'Table S3'!G4)+(1/$B$24)+(1/$B$25)+(1/$B$26))</f>
        <v>9.1486471603215982</v>
      </c>
      <c r="H4" s="7">
        <f>1/((1/'Table S3'!H4)+(1/$B$24)+(1/$B$25)+(1/$B$26))</f>
        <v>9.5880288195085885</v>
      </c>
      <c r="I4" s="7">
        <f>1/((1/'Table S3'!I4)+(1/$B$24)+(1/$B$25)+(1/$B$26))</f>
        <v>8.595346099241663</v>
      </c>
      <c r="J4" s="7">
        <f>1/((1/'Table S3'!J4)+(1/$B$24)+(1/$B$25)+(1/$B$26))</f>
        <v>8.3504069811277457</v>
      </c>
      <c r="K4" s="7">
        <f>1/((1/'Table S3'!K4)+(1/$B$24)+(1/$B$25)+(1/$B$26))</f>
        <v>5.5059398058166069</v>
      </c>
      <c r="L4" s="7">
        <f>1/((1/'Table S3'!L4)+(1/$B$24)+(1/$B$25)+(1/$B$26))</f>
        <v>7.8470111280907222</v>
      </c>
      <c r="M4" s="7">
        <f>1/((1/'Table S3'!M4)+(1/$B$24)+(1/$B$25)+(1/$B$26))</f>
        <v>9.9978746270572003</v>
      </c>
      <c r="N4" s="7"/>
      <c r="O4" s="7">
        <f>AVERAGE(B4:E4)</f>
        <v>8.1546914729784596</v>
      </c>
      <c r="P4" s="7">
        <f>AVERAGE(B4:M4)</f>
        <v>8.3320018648252709</v>
      </c>
    </row>
    <row r="5" spans="1:16" x14ac:dyDescent="0.3">
      <c r="A5" s="6" t="s">
        <v>39</v>
      </c>
      <c r="B5" s="7">
        <f>1/((1/'Table S3'!B5)+(1/$B$24)+(1/$B$25)+(1/$B$26))</f>
        <v>7.4146363586097612</v>
      </c>
      <c r="C5" s="7">
        <f>1/((1/'Table S3'!C5)+(1/$B$24)+(1/$B$25)+(1/$B$26))</f>
        <v>8.9410605814507367</v>
      </c>
      <c r="D5" s="7">
        <f>1/((1/'Table S3'!D5)+(1/$B$24)+(1/$B$25)+(1/$B$26))</f>
        <v>8.6413753141744394</v>
      </c>
      <c r="E5" s="7">
        <f>1/((1/'Table S3'!E5)+(1/$B$24)+(1/$B$25)+(1/$B$26))</f>
        <v>7.6534602021142186</v>
      </c>
      <c r="F5" s="7"/>
      <c r="G5" s="7"/>
      <c r="H5" s="7"/>
      <c r="I5" s="7"/>
      <c r="J5" s="7"/>
      <c r="K5" s="7"/>
      <c r="L5" s="7"/>
      <c r="M5" s="7"/>
      <c r="N5" s="7"/>
      <c r="O5" s="7">
        <f t="shared" ref="O5:O21" si="0">AVERAGE(B5:E5)</f>
        <v>8.1626331140872885</v>
      </c>
      <c r="P5" s="7">
        <f t="shared" ref="P5:P21" si="1">AVERAGE(B5:M5)</f>
        <v>8.1626331140872885</v>
      </c>
    </row>
    <row r="6" spans="1:16" x14ac:dyDescent="0.3">
      <c r="A6" s="6" t="s">
        <v>13</v>
      </c>
      <c r="B6" s="7">
        <f>1/((1/'Table S3'!B6)+(1/$B$24)+(1/$B$25)+(1/$B$26))</f>
        <v>6.9465201055910164</v>
      </c>
      <c r="C6" s="7">
        <f>1/((1/'Table S3'!C6)+(1/$B$24)+(1/$B$25)+(1/$B$26))</f>
        <v>8.4412776079407408</v>
      </c>
      <c r="D6" s="7">
        <f>1/((1/'Table S3'!D6)+(1/$B$24)+(1/$B$25)+(1/$B$26))</f>
        <v>8.2051641527639188</v>
      </c>
      <c r="E6" s="7">
        <f>1/((1/'Table S3'!E6)+(1/$B$24)+(1/$B$25)+(1/$B$26))</f>
        <v>7.1683624356594615</v>
      </c>
      <c r="F6" s="7"/>
      <c r="G6" s="7">
        <f>1/((1/'Table S3'!G6)+(1/$B$24)+(1/$B$25)+(1/$B$26))</f>
        <v>8.7171707014222566</v>
      </c>
      <c r="H6" s="7">
        <f>1/((1/'Table S3'!H6)+(1/$B$24)+(1/$B$25)+(1/$B$26))</f>
        <v>9.1242563987488747</v>
      </c>
      <c r="I6" s="7">
        <f>1/((1/'Table S3'!I6)+(1/$B$24)+(1/$B$25)+(1/$B$26))</f>
        <v>8.1767921736270957</v>
      </c>
      <c r="J6" s="7">
        <f>1/((1/'Table S3'!J6)+(1/$B$24)+(1/$B$25)+(1/$B$26))</f>
        <v>7.937790935473191</v>
      </c>
      <c r="K6" s="7">
        <f>1/((1/'Table S3'!K6)+(1/$B$24)+(1/$B$25)+(1/$B$26))</f>
        <v>5.1811915826849777</v>
      </c>
      <c r="L6" s="7">
        <f>1/((1/'Table S3'!L6)+(1/$B$24)+(1/$B$25)+(1/$B$26))</f>
        <v>7.4640631589734694</v>
      </c>
      <c r="M6" s="7">
        <f>1/((1/'Table S3'!M6)+(1/$B$24)+(1/$B$25)+(1/$B$26))</f>
        <v>9.590289264145861</v>
      </c>
      <c r="N6" s="7"/>
      <c r="O6" s="7">
        <f t="shared" si="0"/>
        <v>7.6903310754887837</v>
      </c>
      <c r="P6" s="7">
        <f t="shared" si="1"/>
        <v>7.9048071379118969</v>
      </c>
    </row>
    <row r="7" spans="1:16" x14ac:dyDescent="0.3">
      <c r="A7" s="6" t="s">
        <v>14</v>
      </c>
      <c r="B7" s="7">
        <f>1/((1/'Table S3'!B7)+(1/$B$24)+(1/$B$25)+(1/$B$26))</f>
        <v>7.4283316308548848</v>
      </c>
      <c r="C7" s="7">
        <f>1/((1/'Table S3'!C7)+(1/$B$24)+(1/$B$25)+(1/$B$26))</f>
        <v>8.9466136145526693</v>
      </c>
      <c r="D7" s="7">
        <f>1/((1/'Table S3'!D7)+(1/$B$24)+(1/$B$25)+(1/$B$26))</f>
        <v>8.6576975678337398</v>
      </c>
      <c r="E7" s="7">
        <f>1/((1/'Table S3'!E7)+(1/$B$24)+(1/$B$25)+(1/$B$26))</f>
        <v>7.6620183029322053</v>
      </c>
      <c r="F7" s="7"/>
      <c r="G7" s="7">
        <f>1/((1/'Table S3'!G7)+(1/$B$24)+(1/$B$25)+(1/$B$26))</f>
        <v>9.1690122707287003</v>
      </c>
      <c r="H7" s="7">
        <f>1/((1/'Table S3'!H7)+(1/$B$24)+(1/$B$25)+(1/$B$26))</f>
        <v>9.6202414328413521</v>
      </c>
      <c r="I7" s="7">
        <f>1/((1/'Table S3'!I7)+(1/$B$24)+(1/$B$25)+(1/$B$26))</f>
        <v>8.6225163262470481</v>
      </c>
      <c r="J7" s="7">
        <f>1/((1/'Table S3'!J7)+(1/$B$24)+(1/$B$25)+(1/$B$26))</f>
        <v>8.3709879362867703</v>
      </c>
      <c r="K7" s="7"/>
      <c r="L7" s="7">
        <f>1/((1/'Table S3'!L7)+(1/$B$24)+(1/$B$25)+(1/$B$26))</f>
        <v>7.8678760523683042</v>
      </c>
      <c r="M7" s="7">
        <f>1/((1/'Table S3'!M7)+(1/$B$24)+(1/$B$25)+(1/$B$26))</f>
        <v>10.035502529857144</v>
      </c>
      <c r="N7" s="7"/>
      <c r="O7" s="7">
        <f t="shared" si="0"/>
        <v>8.1736652790433748</v>
      </c>
      <c r="P7" s="7">
        <f t="shared" si="1"/>
        <v>8.6380797664502804</v>
      </c>
    </row>
    <row r="8" spans="1:16" x14ac:dyDescent="0.3">
      <c r="A8" s="6" t="s">
        <v>15</v>
      </c>
      <c r="B8" s="7">
        <f>1/((1/'Table S3'!B8)+(1/$B$24)+(1/$B$25)+(1/$B$26))</f>
        <v>7.4369946414047172</v>
      </c>
      <c r="C8" s="7">
        <f>1/((1/'Table S3'!C8)+(1/$B$24)+(1/$B$25)+(1/$B$26))</f>
        <v>8.9567545393699923</v>
      </c>
      <c r="D8" s="7">
        <f>1/((1/'Table S3'!D8)+(1/$B$24)+(1/$B$25)+(1/$B$26))</f>
        <v>8.675056314552517</v>
      </c>
      <c r="E8" s="7">
        <f>1/((1/'Table S3'!E8)+(1/$B$24)+(1/$B$25)+(1/$B$26))</f>
        <v>7.6702553635697912</v>
      </c>
      <c r="F8" s="7"/>
      <c r="G8" s="7">
        <f>1/((1/'Table S3'!G8)+(1/$B$24)+(1/$B$25)+(1/$B$26))</f>
        <v>9.1865887600685685</v>
      </c>
      <c r="H8" s="7">
        <f>1/((1/'Table S3'!H8)+(1/$B$24)+(1/$B$25)+(1/$B$26))</f>
        <v>9.6386660940419944</v>
      </c>
      <c r="I8" s="7">
        <f>1/((1/'Table S3'!I8)+(1/$B$24)+(1/$B$25)+(1/$B$26))</f>
        <v>8.6489547038327519</v>
      </c>
      <c r="J8" s="7">
        <f>1/((1/'Table S3'!J8)+(1/$B$24)+(1/$B$25)+(1/$B$26))</f>
        <v>8.3839371229400559</v>
      </c>
      <c r="K8" s="7"/>
      <c r="L8" s="7">
        <f>1/((1/'Table S3'!L8)+(1/$B$24)+(1/$B$25)+(1/$B$26))</f>
        <v>7.8776947293456772</v>
      </c>
      <c r="M8" s="7">
        <f>1/((1/'Table S3'!M8)+(1/$B$24)+(1/$B$25)+(1/$B$26))</f>
        <v>10.066093879957041</v>
      </c>
      <c r="N8" s="7"/>
      <c r="O8" s="7">
        <f t="shared" si="0"/>
        <v>8.1847652147242549</v>
      </c>
      <c r="P8" s="7">
        <f t="shared" si="1"/>
        <v>8.6540996149083096</v>
      </c>
    </row>
    <row r="9" spans="1:16" x14ac:dyDescent="0.3">
      <c r="A9" s="6" t="s">
        <v>16</v>
      </c>
      <c r="B9" s="7">
        <f>1/((1/'Table S3'!B9)+(1/$B$24)+(1/$B$25)+(1/$B$26))</f>
        <v>7.4270006510066722</v>
      </c>
      <c r="C9" s="7">
        <f>1/((1/'Table S3'!C9)+(1/$B$24)+(1/$B$25)+(1/$B$26))</f>
        <v>8.9506350416408953</v>
      </c>
      <c r="D9" s="7">
        <f>1/((1/'Table S3'!D9)+(1/$B$24)+(1/$B$25)+(1/$B$26))</f>
        <v>8.6552879413575834</v>
      </c>
      <c r="E9" s="7">
        <f>1/((1/'Table S3'!E9)+(1/$B$24)+(1/$B$25)+(1/$B$26))</f>
        <v>7.6597532324065298</v>
      </c>
      <c r="F9" s="7"/>
      <c r="G9" s="7">
        <f>1/((1/'Table S3'!G9)+(1/$B$24)+(1/$B$25)+(1/$B$26))</f>
        <v>9.1654713303174074</v>
      </c>
      <c r="H9" s="7">
        <f>1/((1/'Table S3'!H9)+(1/$B$24)+(1/$B$25)+(1/$B$26))</f>
        <v>9.6109627937840454</v>
      </c>
      <c r="I9" s="7">
        <f>1/((1/'Table S3'!I9)+(1/$B$24)+(1/$B$25)+(1/$B$26))</f>
        <v>8.6228158543787128</v>
      </c>
      <c r="J9" s="7">
        <f>1/((1/'Table S3'!J9)+(1/$B$24)+(1/$B$25)+(1/$B$26))</f>
        <v>8.367688168687442</v>
      </c>
      <c r="K9" s="7"/>
      <c r="L9" s="7">
        <f>1/((1/'Table S3'!L9)+(1/$B$24)+(1/$B$25)+(1/$B$26))</f>
        <v>7.8650005482110039</v>
      </c>
      <c r="M9" s="7">
        <f>1/((1/'Table S3'!M9)+(1/$B$24)+(1/$B$25)+(1/$B$26))</f>
        <v>10.048040689496741</v>
      </c>
      <c r="N9" s="7"/>
      <c r="O9" s="7">
        <f t="shared" si="0"/>
        <v>8.1731692166029202</v>
      </c>
      <c r="P9" s="7">
        <f t="shared" si="1"/>
        <v>8.6372656251287037</v>
      </c>
    </row>
    <row r="10" spans="1:16" x14ac:dyDescent="0.3">
      <c r="A10" s="6" t="s">
        <v>17</v>
      </c>
      <c r="B10" s="7">
        <f>1/((1/'Table S3'!B10)+(1/$B$24)+(1/$B$25)+(1/$B$26))</f>
        <v>7.4308840094295938</v>
      </c>
      <c r="C10" s="7">
        <f>1/((1/'Table S3'!C10)+(1/$B$24)+(1/$B$25)+(1/$B$26))</f>
        <v>8.9586887511607305</v>
      </c>
      <c r="D10" s="7">
        <f>1/((1/'Table S3'!D10)+(1/$B$24)+(1/$B$25)+(1/$B$26))</f>
        <v>8.6608622394274004</v>
      </c>
      <c r="E10" s="7">
        <f>1/((1/'Table S3'!E10)+(1/$B$24)+(1/$B$25)+(1/$B$26))</f>
        <v>7.6651200448416539</v>
      </c>
      <c r="F10" s="7"/>
      <c r="G10" s="7">
        <f>1/((1/'Table S3'!G10)+(1/$B$24)+(1/$B$25)+(1/$B$26))</f>
        <v>9.1750888238434491</v>
      </c>
      <c r="H10" s="7">
        <f>1/((1/'Table S3'!H10)+(1/$B$24)+(1/$B$25)+(1/$B$26))</f>
        <v>9.6211702822009126</v>
      </c>
      <c r="I10" s="7">
        <f>1/((1/'Table S3'!I10)+(1/$B$24)+(1/$B$25)+(1/$B$26))</f>
        <v>8.6321115593267503</v>
      </c>
      <c r="J10" s="7">
        <f>1/((1/'Table S3'!J10)+(1/$B$24)+(1/$B$25)+(1/$B$26))</f>
        <v>8.3769065330202643</v>
      </c>
      <c r="K10" s="7"/>
      <c r="L10" s="7">
        <f>1/((1/'Table S3'!L10)+(1/$B$24)+(1/$B$25)+(1/$B$26))</f>
        <v>7.8676145560175339</v>
      </c>
      <c r="M10" s="7">
        <f>1/((1/'Table S3'!M10)+(1/$B$24)+(1/$B$25)+(1/$B$26))</f>
        <v>10.052699912906036</v>
      </c>
      <c r="N10" s="7"/>
      <c r="O10" s="7">
        <f t="shared" si="0"/>
        <v>8.1788887612148464</v>
      </c>
      <c r="P10" s="7">
        <f t="shared" si="1"/>
        <v>8.6441146712174337</v>
      </c>
    </row>
    <row r="11" spans="1:16" x14ac:dyDescent="0.3">
      <c r="A11" s="6" t="s">
        <v>18</v>
      </c>
      <c r="B11" s="7">
        <f>1/((1/'Table S3'!B11)+(1/$B$24)+(1/$B$25)+(1/$B$26))</f>
        <v>7.5629567379443019</v>
      </c>
      <c r="C11" s="7">
        <f>1/((1/'Table S3'!C11)+(1/$B$24)+(1/$B$25)+(1/$B$26))</f>
        <v>9.1710717360634302</v>
      </c>
      <c r="D11" s="7">
        <f>1/((1/'Table S3'!D11)+(1/$B$24)+(1/$B$25)+(1/$B$26))</f>
        <v>8.87204427034726</v>
      </c>
      <c r="E11" s="7">
        <f>1/((1/'Table S3'!E11)+(1/$B$24)+(1/$B$25)+(1/$B$26))</f>
        <v>7.819832594618596</v>
      </c>
      <c r="F11" s="7"/>
      <c r="G11" s="7"/>
      <c r="H11" s="7"/>
      <c r="I11" s="7"/>
      <c r="J11" s="7"/>
      <c r="K11" s="7"/>
      <c r="L11" s="7"/>
      <c r="M11" s="7"/>
      <c r="N11" s="7"/>
      <c r="O11" s="7">
        <f t="shared" si="0"/>
        <v>8.3564763347433981</v>
      </c>
      <c r="P11" s="7">
        <f t="shared" si="1"/>
        <v>8.3564763347433981</v>
      </c>
    </row>
    <row r="12" spans="1:16" x14ac:dyDescent="0.3">
      <c r="A12" s="6" t="s">
        <v>19</v>
      </c>
      <c r="B12" s="7">
        <f>1/((1/'Table S3'!B12)+(1/$B$24)+(1/$B$25)+(1/$B$26))</f>
        <v>7.403785470177068</v>
      </c>
      <c r="C12" s="7">
        <f>1/((1/'Table S3'!C12)+(1/$B$24)+(1/$B$25)+(1/$B$26))</f>
        <v>8.9340899546673267</v>
      </c>
      <c r="D12" s="7">
        <f>1/((1/'Table S3'!D12)+(1/$B$24)+(1/$B$25)+(1/$B$26))</f>
        <v>8.6309658036336874</v>
      </c>
      <c r="E12" s="7">
        <f>1/((1/'Table S3'!E12)+(1/$B$24)+(1/$B$25)+(1/$B$26))</f>
        <v>7.6316115830594651</v>
      </c>
      <c r="F12" s="7"/>
      <c r="G12" s="7">
        <f>1/((1/'Table S3'!G12)+(1/$B$24)+(1/$B$25)+(1/$B$26))</f>
        <v>9.141934773836164</v>
      </c>
      <c r="H12" s="7">
        <f>1/((1/'Table S3'!H12)+(1/$B$24)+(1/$B$25)+(1/$B$26))</f>
        <v>9.5585978267542515</v>
      </c>
      <c r="I12" s="7">
        <f>1/((1/'Table S3'!I12)+(1/$B$24)+(1/$B$25)+(1/$B$26))</f>
        <v>8.5929656939107542</v>
      </c>
      <c r="J12" s="7">
        <f>1/((1/'Table S3'!J12)+(1/$B$24)+(1/$B$25)+(1/$B$26))</f>
        <v>8.3476704975569476</v>
      </c>
      <c r="K12" s="7">
        <f>1/((1/'Table S3'!K12)+(1/$B$24)+(1/$B$25)+(1/$B$26))</f>
        <v>5.5044097082500558</v>
      </c>
      <c r="L12" s="7">
        <f>1/((1/'Table S3'!L12)+(1/$B$24)+(1/$B$25)+(1/$B$26))</f>
        <v>7.8444107910355259</v>
      </c>
      <c r="M12" s="7">
        <f>1/((1/'Table S3'!M12)+(1/$B$24)+(1/$B$25)+(1/$B$26))</f>
        <v>9.9830622492372019</v>
      </c>
      <c r="N12" s="7"/>
      <c r="O12" s="7">
        <f t="shared" si="0"/>
        <v>8.1501132028843877</v>
      </c>
      <c r="P12" s="7">
        <f t="shared" si="1"/>
        <v>8.3248640320107672</v>
      </c>
    </row>
    <row r="13" spans="1:16" x14ac:dyDescent="0.3">
      <c r="A13" s="6" t="s">
        <v>20</v>
      </c>
      <c r="B13" s="7">
        <f>1/((1/'Table S3'!B13)+(1/$B$24)+(1/$B$25)+(1/$B$26))</f>
        <v>7.4063210055955766</v>
      </c>
      <c r="C13" s="7">
        <f>1/((1/'Table S3'!C13)+(1/$B$24)+(1/$B$25)+(1/$B$26))</f>
        <v>8.9340899546673267</v>
      </c>
      <c r="D13" s="7">
        <f>1/((1/'Table S3'!D13)+(1/$B$24)+(1/$B$25)+(1/$B$26))</f>
        <v>8.6327627547391099</v>
      </c>
      <c r="E13" s="7">
        <f>1/((1/'Table S3'!E13)+(1/$B$24)+(1/$B$25)+(1/$B$26))</f>
        <v>7.6380053991994279</v>
      </c>
      <c r="F13" s="7"/>
      <c r="G13" s="7">
        <f>1/((1/'Table S3'!G13)+(1/$B$24)+(1/$B$25)+(1/$B$26))</f>
        <v>9.1431087303480023</v>
      </c>
      <c r="H13" s="7">
        <f>1/((1/'Table S3'!H13)+(1/$B$24)+(1/$B$25)+(1/$B$26))</f>
        <v>9.5694294527309669</v>
      </c>
      <c r="I13" s="7">
        <f>1/((1/'Table S3'!I13)+(1/$B$24)+(1/$B$25)+(1/$B$26))</f>
        <v>8.5893975570088941</v>
      </c>
      <c r="J13" s="7">
        <f>1/((1/'Table S3'!J13)+(1/$B$24)+(1/$B$25)+(1/$B$26))</f>
        <v>8.3473969478406485</v>
      </c>
      <c r="K13" s="7">
        <f>1/((1/'Table S3'!K13)+(1/$B$24)+(1/$B$25)+(1/$B$26))</f>
        <v>5.5052664580984727</v>
      </c>
      <c r="L13" s="7">
        <f>1/((1/'Table S3'!L13)+(1/$B$24)+(1/$B$25)+(1/$B$26))</f>
        <v>7.8454507190226987</v>
      </c>
      <c r="M13" s="7">
        <f>1/((1/'Table S3'!M13)+(1/$B$24)+(1/$B$25)+(1/$B$26))</f>
        <v>9.9874613424776069</v>
      </c>
      <c r="N13" s="7"/>
      <c r="O13" s="7">
        <f t="shared" si="0"/>
        <v>8.1527947785503603</v>
      </c>
      <c r="P13" s="7">
        <f t="shared" si="1"/>
        <v>8.3271536656117018</v>
      </c>
    </row>
    <row r="14" spans="1:16" x14ac:dyDescent="0.3">
      <c r="A14" s="6" t="s">
        <v>21</v>
      </c>
      <c r="B14" s="7">
        <f>1/((1/'Table S3'!B14)+(1/$B$24)+(1/$B$25)+(1/$B$26))</f>
        <v>7.4062107288136607</v>
      </c>
      <c r="C14" s="7">
        <f>1/((1/'Table S3'!C14)+(1/$B$24)+(1/$B$25)+(1/$B$26))</f>
        <v>8.9321663490833139</v>
      </c>
      <c r="D14" s="7">
        <f>1/((1/'Table S3'!D14)+(1/$B$24)+(1/$B$25)+(1/$B$26))</f>
        <v>8.6314149712731414</v>
      </c>
      <c r="E14" s="7">
        <f>1/((1/'Table S3'!E14)+(1/$B$24)+(1/$B$25)+(1/$B$26))</f>
        <v>7.6352807978038681</v>
      </c>
      <c r="F14" s="7"/>
      <c r="G14" s="7">
        <f>1/((1/'Table S3'!G14)+(1/$B$24)+(1/$B$25)+(1/$B$26))</f>
        <v>9.1452897354031322</v>
      </c>
      <c r="H14" s="7">
        <f>1/((1/'Table S3'!H14)+(1/$B$24)+(1/$B$25)+(1/$B$26))</f>
        <v>9.5806540934682936</v>
      </c>
      <c r="I14" s="7">
        <f>1/((1/'Table S3'!I14)+(1/$B$24)+(1/$B$25)+(1/$B$26))</f>
        <v>8.5922220876096844</v>
      </c>
      <c r="J14" s="7">
        <f>1/((1/'Table S3'!J14)+(1/$B$24)+(1/$B$25)+(1/$B$26))</f>
        <v>8.3478072791385109</v>
      </c>
      <c r="K14" s="7">
        <f>1/((1/'Table S3'!K14)+(1/$B$24)+(1/$B$25)+(1/$B$26))</f>
        <v>5.5053276647217881</v>
      </c>
      <c r="L14" s="7">
        <f>1/((1/'Table S3'!L14)+(1/$B$24)+(1/$B$25)+(1/$B$26))</f>
        <v>7.8444107910355259</v>
      </c>
      <c r="M14" s="7">
        <f>1/((1/'Table S3'!M14)+(1/$B$24)+(1/$B$25)+(1/$B$26))</f>
        <v>9.9908632981089429</v>
      </c>
      <c r="N14" s="7"/>
      <c r="O14" s="7">
        <f t="shared" si="0"/>
        <v>8.1512682117434956</v>
      </c>
      <c r="P14" s="7">
        <f t="shared" si="1"/>
        <v>8.3283316178599875</v>
      </c>
    </row>
    <row r="15" spans="1:16" x14ac:dyDescent="0.3">
      <c r="A15" s="6" t="s">
        <v>22</v>
      </c>
      <c r="B15" s="7">
        <f>1/((1/'Table S3'!B15)+(1/$B$24)+(1/$B$25)+(1/$B$26))</f>
        <v>7.4056593941595628</v>
      </c>
      <c r="C15" s="7">
        <f>1/((1/'Table S3'!C15)+(1/$B$24)+(1/$B$25)+(1/$B$26))</f>
        <v>8.935052068189405</v>
      </c>
      <c r="D15" s="7">
        <f>1/((1/'Table S3'!D15)+(1/$B$24)+(1/$B$25)+(1/$B$26))</f>
        <v>8.6329125344400399</v>
      </c>
      <c r="E15" s="7">
        <f>1/((1/'Table S3'!E15)+(1/$B$24)+(1/$B$25)+(1/$B$26))</f>
        <v>7.634215178488355</v>
      </c>
      <c r="F15" s="7"/>
      <c r="G15" s="7">
        <f>1/((1/'Table S3'!G15)+(1/$B$24)+(1/$B$25)+(1/$B$26))</f>
        <v>9.144450764178119</v>
      </c>
      <c r="H15" s="7">
        <f>1/((1/'Table S3'!H15)+(1/$B$24)+(1/$B$25)+(1/$B$26))</f>
        <v>9.5780756188147347</v>
      </c>
      <c r="I15" s="7">
        <f>1/((1/'Table S3'!I15)+(1/$B$24)+(1/$B$25)+(1/$B$26))</f>
        <v>8.5913299299126074</v>
      </c>
      <c r="J15" s="7">
        <f>1/((1/'Table S3'!J15)+(1/$B$24)+(1/$B$25)+(1/$B$26))</f>
        <v>8.3495858476929072</v>
      </c>
      <c r="K15" s="7">
        <f>1/((1/'Table S3'!K15)+(1/$B$24)+(1/$B$25)+(1/$B$26))</f>
        <v>5.5057561491951184</v>
      </c>
      <c r="L15" s="7">
        <f>1/((1/'Table S3'!L15)+(1/$B$24)+(1/$B$25)+(1/$B$26))</f>
        <v>7.8451907111775396</v>
      </c>
      <c r="M15" s="7">
        <f>1/((1/'Table S3'!M15)+(1/$B$24)+(1/$B$25)+(1/$B$26))</f>
        <v>9.9870612647113024</v>
      </c>
      <c r="N15" s="7"/>
      <c r="O15" s="7">
        <f t="shared" si="0"/>
        <v>8.1519597938193407</v>
      </c>
      <c r="P15" s="7">
        <f t="shared" si="1"/>
        <v>8.3281172237236074</v>
      </c>
    </row>
    <row r="16" spans="1:16" x14ac:dyDescent="0.3">
      <c r="A16" s="6" t="s">
        <v>23</v>
      </c>
      <c r="B16" s="7">
        <f>1/((1/'Table S3'!B16)+(1/$B$24)+(1/$B$25)+(1/$B$26))</f>
        <v>7.3825511414204614</v>
      </c>
      <c r="C16" s="7">
        <f>1/((1/'Table S3'!C16)+(1/$B$24)+(1/$B$25)+(1/$B$26))</f>
        <v>8.9412615423874442</v>
      </c>
      <c r="D16" s="7">
        <f>1/((1/'Table S3'!D16)+(1/$B$24)+(1/$B$25)+(1/$B$26))</f>
        <v>8.6302849995473938</v>
      </c>
      <c r="E16" s="7">
        <f>1/((1/'Table S3'!E16)+(1/$B$24)+(1/$B$25)+(1/$B$26))</f>
        <v>7.5994627737082059</v>
      </c>
      <c r="F16" s="7"/>
      <c r="G16" s="7"/>
      <c r="H16" s="7"/>
      <c r="I16" s="7"/>
      <c r="J16" s="7"/>
      <c r="K16" s="7"/>
      <c r="L16" s="7"/>
      <c r="M16" s="7"/>
      <c r="N16" s="7"/>
      <c r="O16" s="7">
        <f t="shared" si="0"/>
        <v>8.1383901142658761</v>
      </c>
      <c r="P16" s="7">
        <f t="shared" si="1"/>
        <v>8.1383901142658761</v>
      </c>
    </row>
    <row r="17" spans="1:16" x14ac:dyDescent="0.3">
      <c r="A17" s="6" t="s">
        <v>24</v>
      </c>
      <c r="B17" s="7">
        <f>1/((1/'Table S3'!B17)+(1/$B$24)+(1/$B$25)+(1/$B$26))</f>
        <v>7.4005909641404388</v>
      </c>
      <c r="C17" s="7">
        <f>1/((1/'Table S3'!C17)+(1/$B$24)+(1/$B$25)+(1/$B$26))</f>
        <v>8.9137737159882828</v>
      </c>
      <c r="D17" s="7">
        <f>1/((1/'Table S3'!D17)+(1/$B$24)+(1/$B$25)+(1/$B$26))</f>
        <v>8.6179602469152901</v>
      </c>
      <c r="E17" s="7">
        <f>1/((1/'Table S3'!E17)+(1/$B$24)+(1/$B$25)+(1/$B$26))</f>
        <v>7.6325581395348854</v>
      </c>
      <c r="F17" s="7"/>
      <c r="G17" s="7">
        <f>1/((1/'Table S3'!G17)+(1/$B$24)+(1/$B$25)+(1/$B$26))</f>
        <v>9.1421024634517671</v>
      </c>
      <c r="H17" s="7">
        <f>1/((1/'Table S3'!H17)+(1/$B$24)+(1/$B$25)+(1/$B$26))</f>
        <v>9.572922830990569</v>
      </c>
      <c r="I17" s="7">
        <f>1/((1/'Table S3'!I17)+(1/$B$24)+(1/$B$25)+(1/$B$26))</f>
        <v>8.5793039090312107</v>
      </c>
      <c r="J17" s="7">
        <f>1/((1/'Table S3'!J17)+(1/$B$24)+(1/$B$25)+(1/$B$26))</f>
        <v>8.3408371288895591</v>
      </c>
      <c r="K17" s="7">
        <f>1/((1/'Table S3'!K17)+(1/$B$24)+(1/$B$25)+(1/$B$26))</f>
        <v>5.500802047554088</v>
      </c>
      <c r="L17" s="7">
        <f>1/((1/'Table S3'!L17)+(1/$B$24)+(1/$B$25)+(1/$B$26))</f>
        <v>7.8397345247045029</v>
      </c>
      <c r="M17" s="7">
        <f>1/((1/'Table S3'!M17)+(1/$B$24)+(1/$B$25)+(1/$B$26))</f>
        <v>9.9812637369236494</v>
      </c>
      <c r="N17" s="7"/>
      <c r="O17" s="7">
        <f t="shared" si="0"/>
        <v>8.1412207666447252</v>
      </c>
      <c r="P17" s="7">
        <f t="shared" si="1"/>
        <v>8.320168155284021</v>
      </c>
    </row>
    <row r="18" spans="1:16" x14ac:dyDescent="0.3">
      <c r="A18" s="6" t="s">
        <v>25</v>
      </c>
      <c r="B18" s="7">
        <f>1/((1/'Table S3'!B18)+(1/$B$24)+(1/$B$25)+(1/$B$26))</f>
        <v>7.3967391950891646</v>
      </c>
      <c r="C18" s="7">
        <f>1/((1/'Table S3'!C18)+(1/$B$24)+(1/$B$25)+(1/$B$26))</f>
        <v>8.903570585415757</v>
      </c>
      <c r="D18" s="7">
        <f>1/((1/'Table S3'!D18)+(1/$B$24)+(1/$B$25)+(1/$B$26))</f>
        <v>8.619005220909969</v>
      </c>
      <c r="E18" s="7">
        <f>1/((1/'Table S3'!E18)+(1/$B$24)+(1/$B$25)+(1/$B$26))</f>
        <v>7.6299556740336634</v>
      </c>
      <c r="F18" s="7"/>
      <c r="G18" s="7">
        <f>1/((1/'Table S3'!G18)+(1/$B$24)+(1/$B$25)+(1/$B$26))</f>
        <v>9.1441152187872667</v>
      </c>
      <c r="H18" s="7">
        <f>1/((1/'Table S3'!H18)+(1/$B$24)+(1/$B$25)+(1/$B$26))</f>
        <v>9.5653876723532179</v>
      </c>
      <c r="I18" s="7">
        <f>1/((1/'Table S3'!I18)+(1/$B$24)+(1/$B$25)+(1/$B$26))</f>
        <v>8.5755989704790032</v>
      </c>
      <c r="J18" s="7">
        <f>1/((1/'Table S3'!J18)+(1/$B$24)+(1/$B$25)+(1/$B$26))</f>
        <v>8.3401544072868727</v>
      </c>
      <c r="K18" s="7">
        <f>1/((1/'Table S3'!K18)+(1/$B$24)+(1/$B$25)+(1/$B$26))</f>
        <v>5.4999466865703477</v>
      </c>
      <c r="L18" s="7">
        <f>1/((1/'Table S3'!L18)+(1/$B$24)+(1/$B$25)+(1/$B$26))</f>
        <v>7.8366201099748745</v>
      </c>
      <c r="M18" s="7">
        <f>1/((1/'Table S3'!M18)+(1/$B$24)+(1/$B$25)+(1/$B$26))</f>
        <v>9.974076163272164</v>
      </c>
      <c r="N18" s="7"/>
      <c r="O18" s="7">
        <f t="shared" si="0"/>
        <v>8.1373176688621385</v>
      </c>
      <c r="P18" s="7">
        <f t="shared" si="1"/>
        <v>8.3168336276520272</v>
      </c>
    </row>
    <row r="19" spans="1:16" x14ac:dyDescent="0.3">
      <c r="A19" s="6" t="s">
        <v>26</v>
      </c>
      <c r="B19" s="7">
        <f>1/((1/'Table S3'!B19)+(1/$B$24)+(1/$B$25)+(1/$B$26))</f>
        <v>7.4022429505991321</v>
      </c>
      <c r="C19" s="7">
        <f>1/((1/'Table S3'!C19)+(1/$B$24)+(1/$B$25)+(1/$B$26))</f>
        <v>8.9171267155554439</v>
      </c>
      <c r="D19" s="7">
        <f>1/((1/'Table S3'!D19)+(1/$B$24)+(1/$B$25)+(1/$B$26))</f>
        <v>8.6234865527197844</v>
      </c>
      <c r="E19" s="7">
        <f>1/((1/'Table S3'!E19)+(1/$B$24)+(1/$B$25)+(1/$B$26))</f>
        <v>7.6327948153431127</v>
      </c>
      <c r="F19" s="7"/>
      <c r="G19" s="7">
        <f>1/((1/'Table S3'!G19)+(1/$B$24)+(1/$B$25)+(1/$B$26))</f>
        <v>9.1359020420134165</v>
      </c>
      <c r="H19" s="7">
        <f>1/((1/'Table S3'!H19)+(1/$B$24)+(1/$B$25)+(1/$B$26))</f>
        <v>9.5694294527309669</v>
      </c>
      <c r="I19" s="7">
        <f>1/((1/'Table S3'!I19)+(1/$B$24)+(1/$B$25)+(1/$B$26))</f>
        <v>8.5806384707122731</v>
      </c>
      <c r="J19" s="7">
        <f>1/((1/'Table S3'!J19)+(1/$B$24)+(1/$B$25)+(1/$B$26))</f>
        <v>8.3376975346626701</v>
      </c>
      <c r="K19" s="7">
        <f>1/((1/'Table S3'!K19)+(1/$B$24)+(1/$B$25)+(1/$B$26))</f>
        <v>5.4997023465752086</v>
      </c>
      <c r="L19" s="7">
        <f>1/((1/'Table S3'!L19)+(1/$B$24)+(1/$B$25)+(1/$B$26))</f>
        <v>7.8402538345107624</v>
      </c>
      <c r="M19" s="7">
        <f>1/((1/'Table S3'!M19)+(1/$B$24)+(1/$B$25)+(1/$B$26))</f>
        <v>9.9844615403098871</v>
      </c>
      <c r="N19" s="7"/>
      <c r="O19" s="7">
        <f t="shared" si="0"/>
        <v>8.143912758554368</v>
      </c>
      <c r="P19" s="7">
        <f t="shared" si="1"/>
        <v>8.320339659612058</v>
      </c>
    </row>
    <row r="20" spans="1:16" x14ac:dyDescent="0.3">
      <c r="A20" s="6" t="s">
        <v>27</v>
      </c>
      <c r="B20" s="7">
        <f>1/((1/'Table S3'!B20)+(1/$B$24)+(1/$B$25)+(1/$B$26))</f>
        <v>7.3973992135773914</v>
      </c>
      <c r="C20" s="7">
        <f>1/((1/'Table S3'!C20)+(1/$B$24)+(1/$B$25)+(1/$B$26))</f>
        <v>8.8921199476997153</v>
      </c>
      <c r="D20" s="7">
        <f>1/((1/'Table S3'!D20)+(1/$B$24)+(1/$B$25)+(1/$B$26))</f>
        <v>8.617512478480899</v>
      </c>
      <c r="E20" s="7">
        <f>1/((1/'Table S3'!E20)+(1/$B$24)+(1/$B$25)+(1/$B$26))</f>
        <v>7.6279458931808684</v>
      </c>
      <c r="F20" s="7"/>
      <c r="G20" s="7">
        <f>1/((1/'Table S3'!G20)+(1/$B$24)+(1/$B$25)+(1/$B$26))</f>
        <v>9.1337255117561877</v>
      </c>
      <c r="H20" s="7">
        <f>1/((1/'Table S3'!H20)+(1/$B$24)+(1/$B$25)+(1/$B$26))</f>
        <v>9.5556646618387138</v>
      </c>
      <c r="I20" s="7">
        <f>1/((1/'Table S3'!I20)+(1/$B$24)+(1/$B$25)+(1/$B$26))</f>
        <v>8.5645033295380042</v>
      </c>
      <c r="J20" s="7">
        <f>1/((1/'Table S3'!J20)+(1/$B$24)+(1/$B$25)+(1/$B$26))</f>
        <v>8.3333333333333339</v>
      </c>
      <c r="K20" s="7">
        <f>1/((1/'Table S3'!K20)+(1/$B$24)+(1/$B$25)+(1/$B$26))</f>
        <v>5.4983588645741266</v>
      </c>
      <c r="L20" s="7">
        <f>1/((1/'Table S3'!L20)+(1/$B$24)+(1/$B$25)+(1/$B$26))</f>
        <v>7.8371390072471678</v>
      </c>
      <c r="M20" s="7">
        <f>1/((1/'Table S3'!M20)+(1/$B$24)+(1/$B$25)+(1/$B$26))</f>
        <v>9.9758720860442232</v>
      </c>
      <c r="N20" s="7"/>
      <c r="O20" s="7">
        <f t="shared" si="0"/>
        <v>8.1337443832347169</v>
      </c>
      <c r="P20" s="7">
        <f t="shared" si="1"/>
        <v>8.3121431206609664</v>
      </c>
    </row>
    <row r="21" spans="1:16" x14ac:dyDescent="0.3">
      <c r="A21" s="6" t="s">
        <v>28</v>
      </c>
      <c r="B21" s="7">
        <f>1/((1/'Table S3'!B21)+(1/$B$24)+(1/$B$25)+(1/$B$26))</f>
        <v>7.3462300834860992</v>
      </c>
      <c r="C21" s="7">
        <f>1/((1/'Table S3'!C21)+(1/$B$24)+(1/$B$25)+(1/$B$26))</f>
        <v>8.6897176085980217</v>
      </c>
      <c r="D21" s="7">
        <f>1/((1/'Table S3'!D21)+(1/$B$24)+(1/$B$25)+(1/$B$26))</f>
        <v>8.5599151992940232</v>
      </c>
      <c r="E21" s="7">
        <f>1/((1/'Table S3'!E21)+(1/$B$24)+(1/$B$25)+(1/$B$26))</f>
        <v>7.5865233744637752</v>
      </c>
      <c r="F21" s="7"/>
      <c r="G21" s="7"/>
      <c r="H21" s="7"/>
      <c r="I21" s="7"/>
      <c r="J21" s="7"/>
      <c r="K21" s="7"/>
      <c r="L21" s="7"/>
      <c r="M21" s="7"/>
      <c r="N21" s="7"/>
      <c r="O21" s="7">
        <f t="shared" si="0"/>
        <v>8.04559656646048</v>
      </c>
      <c r="P21" s="7">
        <f t="shared" si="1"/>
        <v>8.04559656646048</v>
      </c>
    </row>
    <row r="23" spans="1:16" x14ac:dyDescent="0.3">
      <c r="A23" t="s">
        <v>160</v>
      </c>
    </row>
    <row r="24" spans="1:16" x14ac:dyDescent="0.3">
      <c r="A24" t="s">
        <v>146</v>
      </c>
      <c r="B24">
        <v>120</v>
      </c>
      <c r="C24" t="s">
        <v>38</v>
      </c>
    </row>
    <row r="25" spans="1:16" x14ac:dyDescent="0.3">
      <c r="A25" t="s">
        <v>147</v>
      </c>
      <c r="B25">
        <v>150</v>
      </c>
      <c r="C25" t="s">
        <v>38</v>
      </c>
    </row>
    <row r="26" spans="1:16" x14ac:dyDescent="0.3">
      <c r="A26" t="s">
        <v>161</v>
      </c>
      <c r="B26">
        <v>200</v>
      </c>
      <c r="C26" t="s">
        <v>38</v>
      </c>
    </row>
    <row r="28" spans="1:16" x14ac:dyDescent="0.3">
      <c r="A28" t="s">
        <v>40</v>
      </c>
      <c r="B28" s="9">
        <f t="shared" ref="B28:M28" si="2">LN(B6)-LN(B4)</f>
        <v>-6.4688763867573273E-2</v>
      </c>
      <c r="C28" s="9">
        <f t="shared" si="2"/>
        <v>-5.6597058074707274E-2</v>
      </c>
      <c r="D28" s="9">
        <f t="shared" si="2"/>
        <v>-5.0904961389283354E-2</v>
      </c>
      <c r="E28" s="9">
        <f t="shared" si="2"/>
        <v>-6.3924814866020307E-2</v>
      </c>
      <c r="F28" s="9"/>
      <c r="G28" s="9">
        <f t="shared" si="2"/>
        <v>-4.8311292599363842E-2</v>
      </c>
      <c r="H28" s="9">
        <f t="shared" si="2"/>
        <v>-4.9578916757050173E-2</v>
      </c>
      <c r="I28" s="9">
        <f t="shared" si="2"/>
        <v>-4.9920986644773624E-2</v>
      </c>
      <c r="J28" s="9">
        <f t="shared" si="2"/>
        <v>-5.0675261094760504E-2</v>
      </c>
      <c r="K28" s="9">
        <f t="shared" si="2"/>
        <v>-6.079240910530026E-2</v>
      </c>
      <c r="L28" s="9">
        <f t="shared" si="2"/>
        <v>-5.0032785955059556E-2</v>
      </c>
      <c r="M28" s="9">
        <f t="shared" si="2"/>
        <v>-4.1621481568306251E-2</v>
      </c>
      <c r="O28" s="7">
        <f>AVERAGE(B28:E28)</f>
        <v>-5.9028899549396052E-2</v>
      </c>
      <c r="P28" s="7">
        <f>AVERAGE(B28:M28)</f>
        <v>-5.3368066538381671E-2</v>
      </c>
    </row>
    <row r="29" spans="1:16" x14ac:dyDescent="0.3">
      <c r="A29" t="s">
        <v>41</v>
      </c>
      <c r="B29" s="9">
        <f>LN('Table S2'!B6)-LN('Table S2'!B4)</f>
        <v>-0.22326418342662357</v>
      </c>
      <c r="C29" s="9">
        <f>LN('Table S2'!C6)-LN('Table S2'!C4)</f>
        <v>-0.2233595161378954</v>
      </c>
      <c r="D29" s="9">
        <f>LN('Table S2'!D6)-LN('Table S2'!D4)</f>
        <v>-0.22333449745290501</v>
      </c>
      <c r="E29" s="9">
        <f>LN('Table S2'!E6)-LN('Table S2'!E4)</f>
        <v>-0.22101297677518872</v>
      </c>
      <c r="F29" s="9"/>
      <c r="G29" s="9">
        <f>LN('Table S2'!G6)-LN('Table S2'!G4)</f>
        <v>-0.22304323531874104</v>
      </c>
      <c r="H29" s="9">
        <f>LN('Table S2'!H6)-LN('Table S2'!H4)</f>
        <v>-0.22342457988060538</v>
      </c>
      <c r="I29" s="9">
        <f>LN('Table S2'!I6)-LN('Table S2'!I4)</f>
        <v>-0.22140772365606054</v>
      </c>
      <c r="J29" s="9">
        <f>LN('Table S2'!J6)-LN('Table S2'!J4)</f>
        <v>-0.22318771669885962</v>
      </c>
      <c r="K29" s="9">
        <f>LN('Table S2'!K6)-LN('Table S2'!K4)</f>
        <v>-0.22123697304362899</v>
      </c>
      <c r="L29" s="9">
        <f>LN('Table S2'!L6)-LN('Table S2'!L4)</f>
        <v>-0.22317523481714119</v>
      </c>
      <c r="M29" s="9">
        <f>LN('Table S2'!M6)-LN('Table S2'!M4)</f>
        <v>-0.22312851021440316</v>
      </c>
      <c r="O29" s="7">
        <f>AVERAGE(B29:E29)</f>
        <v>-0.22274279344815318</v>
      </c>
      <c r="P29" s="7">
        <f>AVERAGE(B29:M29)</f>
        <v>-0.22268864976564115</v>
      </c>
    </row>
    <row r="30" spans="1:16" x14ac:dyDescent="0.3">
      <c r="A30" t="s">
        <v>42</v>
      </c>
      <c r="B30" s="9">
        <f t="shared" ref="B30:M30" si="3">B28/B29</f>
        <v>0.28974089294010485</v>
      </c>
      <c r="C30" s="9">
        <f t="shared" si="3"/>
        <v>0.25338995648506851</v>
      </c>
      <c r="D30" s="9">
        <f t="shared" si="3"/>
        <v>0.22793147484981707</v>
      </c>
      <c r="E30" s="9">
        <f t="shared" si="3"/>
        <v>0.28923557249330084</v>
      </c>
      <c r="F30" s="9"/>
      <c r="G30" s="9">
        <f t="shared" si="3"/>
        <v>0.21660057311455491</v>
      </c>
      <c r="H30" s="9">
        <f t="shared" si="3"/>
        <v>0.22190448689013703</v>
      </c>
      <c r="I30" s="9">
        <f t="shared" si="3"/>
        <v>0.2254708454630153</v>
      </c>
      <c r="J30" s="9">
        <f t="shared" si="3"/>
        <v>0.22705219554324796</v>
      </c>
      <c r="K30" s="9">
        <f t="shared" si="3"/>
        <v>0.27478412974540067</v>
      </c>
      <c r="L30" s="9">
        <f t="shared" si="3"/>
        <v>0.22418610199314434</v>
      </c>
      <c r="M30" s="9">
        <f t="shared" si="3"/>
        <v>0.18653591837417979</v>
      </c>
      <c r="O30" s="7">
        <f>AVERAGE(B30:E30)</f>
        <v>0.26507447419207286</v>
      </c>
      <c r="P30" s="7">
        <f>AVERAGE(B30:M30)</f>
        <v>0.23971201344472465</v>
      </c>
    </row>
    <row r="31" spans="1:16" x14ac:dyDescent="0.3">
      <c r="A31" s="10" t="s">
        <v>43</v>
      </c>
      <c r="B31" s="7">
        <f t="shared" ref="B31:M31" si="4">1/(1-B30)</f>
        <v>1.4079368924102671</v>
      </c>
      <c r="C31" s="7">
        <f t="shared" si="4"/>
        <v>1.3393872861556289</v>
      </c>
      <c r="D31" s="7">
        <f t="shared" si="4"/>
        <v>1.2952218195988237</v>
      </c>
      <c r="E31" s="7">
        <f t="shared" si="4"/>
        <v>1.406935914769841</v>
      </c>
      <c r="F31" s="7"/>
      <c r="G31" s="7">
        <f t="shared" si="4"/>
        <v>1.276488041324835</v>
      </c>
      <c r="H31" s="7">
        <f t="shared" si="4"/>
        <v>1.2851892642372882</v>
      </c>
      <c r="I31" s="7">
        <f t="shared" si="4"/>
        <v>1.2911069830519193</v>
      </c>
      <c r="J31" s="7">
        <f t="shared" si="4"/>
        <v>1.2937484190188318</v>
      </c>
      <c r="K31" s="7">
        <f t="shared" si="4"/>
        <v>1.3788997745580678</v>
      </c>
      <c r="L31" s="7">
        <f t="shared" si="4"/>
        <v>1.2889689171193004</v>
      </c>
      <c r="M31" s="7">
        <f t="shared" si="4"/>
        <v>1.2293105775504705</v>
      </c>
      <c r="O31" s="7">
        <f>AVERAGE(B31:E31)</f>
        <v>1.3623704782336401</v>
      </c>
      <c r="P31" s="7">
        <f>AVERAGE(B31:M31)</f>
        <v>1.3175630808904792</v>
      </c>
    </row>
    <row r="32" spans="1:16" x14ac:dyDescent="0.3">
      <c r="A32" s="10" t="s">
        <v>44</v>
      </c>
      <c r="B32" s="7">
        <f t="shared" ref="B32:M32" si="5">B31*B4</f>
        <v>10.433846884451938</v>
      </c>
      <c r="C32" s="7">
        <f t="shared" si="5"/>
        <v>11.964488740126308</v>
      </c>
      <c r="D32" s="7">
        <f t="shared" si="5"/>
        <v>11.182506771964357</v>
      </c>
      <c r="E32" s="7">
        <f>E31*E4</f>
        <v>10.751188234837837</v>
      </c>
      <c r="F32" s="7"/>
      <c r="G32" s="7">
        <f t="shared" si="5"/>
        <v>11.678138694450929</v>
      </c>
      <c r="H32" s="7">
        <f>H31*H4</f>
        <v>12.322431704030159</v>
      </c>
      <c r="I32" s="7">
        <f>I31*I4</f>
        <v>11.097511370478987</v>
      </c>
      <c r="J32" s="7">
        <f>J31*J4</f>
        <v>10.803325829997837</v>
      </c>
      <c r="K32" s="7">
        <f>K31*K4</f>
        <v>7.592139156970811</v>
      </c>
      <c r="L32" s="7">
        <f t="shared" si="5"/>
        <v>10.114553436398198</v>
      </c>
      <c r="M32" s="7">
        <f t="shared" si="5"/>
        <v>12.290493032064882</v>
      </c>
      <c r="O32" s="7">
        <f>AVERAGE(B32:E32)</f>
        <v>11.083007657845108</v>
      </c>
      <c r="P32" s="7">
        <f>AVERAGE(B32:M32)</f>
        <v>10.930056714161113</v>
      </c>
    </row>
    <row r="34" spans="1:2" x14ac:dyDescent="0.3">
      <c r="A34" s="3" t="s">
        <v>29</v>
      </c>
      <c r="B34" t="s">
        <v>130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election activeCell="L23" sqref="L23"/>
    </sheetView>
  </sheetViews>
  <sheetFormatPr defaultRowHeight="14.4" x14ac:dyDescent="0.3"/>
  <cols>
    <col min="1" max="1" width="24.109375" customWidth="1"/>
  </cols>
  <sheetData>
    <row r="1" spans="1:16" s="61" customFormat="1" ht="42" customHeight="1" x14ac:dyDescent="0.3">
      <c r="B1" s="61" t="s">
        <v>0</v>
      </c>
      <c r="C1" s="61" t="s">
        <v>1</v>
      </c>
      <c r="D1" s="61" t="s">
        <v>2</v>
      </c>
      <c r="E1" s="61" t="s">
        <v>3</v>
      </c>
      <c r="G1" s="61" t="s">
        <v>4</v>
      </c>
      <c r="H1" s="61" t="s">
        <v>5</v>
      </c>
      <c r="I1" s="61" t="s">
        <v>6</v>
      </c>
      <c r="J1" s="61" t="s">
        <v>7</v>
      </c>
      <c r="K1" s="61" t="s">
        <v>8</v>
      </c>
      <c r="L1" s="61" t="s">
        <v>9</v>
      </c>
      <c r="M1" s="61" t="s">
        <v>10</v>
      </c>
      <c r="O1" s="61" t="s">
        <v>35</v>
      </c>
      <c r="P1" s="61" t="s">
        <v>34</v>
      </c>
    </row>
    <row r="2" spans="1:16" x14ac:dyDescent="0.3">
      <c r="A2" s="6" t="s">
        <v>51</v>
      </c>
      <c r="B2" s="1">
        <f>'Table S4'!B4</f>
        <v>7.4107347713505023</v>
      </c>
      <c r="C2" s="1">
        <f>'Table S4'!C4</f>
        <v>8.9328074588996103</v>
      </c>
      <c r="D2" s="1">
        <f>'Table S4'!D4</f>
        <v>8.6336615109124537</v>
      </c>
      <c r="E2" s="1">
        <f>'Table S4'!E4</f>
        <v>7.6415621507512732</v>
      </c>
      <c r="F2" s="1"/>
      <c r="G2" s="1">
        <f>'Table S4'!G4</f>
        <v>9.1486471603215982</v>
      </c>
      <c r="H2" s="1">
        <f>'Table S4'!H4</f>
        <v>9.5880288195085885</v>
      </c>
      <c r="I2" s="1">
        <f>'Table S4'!I4</f>
        <v>8.595346099241663</v>
      </c>
      <c r="J2" s="1">
        <f>'Table S4'!J4</f>
        <v>8.3504069811277457</v>
      </c>
      <c r="K2" s="1">
        <f>'Table S4'!K4</f>
        <v>5.5059398058166069</v>
      </c>
      <c r="L2" s="1">
        <f>'Table S4'!L4</f>
        <v>7.8470111280907222</v>
      </c>
      <c r="M2" s="1">
        <f>'Table S4'!M4</f>
        <v>9.9978746270572003</v>
      </c>
      <c r="N2" s="1"/>
      <c r="O2" s="1">
        <f>AVERAGE(B2:E2)</f>
        <v>8.1546914729784596</v>
      </c>
      <c r="P2" s="1">
        <f>AVERAGE(B2:M2)</f>
        <v>8.3320018648252709</v>
      </c>
    </row>
    <row r="3" spans="1:16" x14ac:dyDescent="0.3">
      <c r="A3" s="6" t="s">
        <v>50</v>
      </c>
      <c r="B3" s="1">
        <f>'Table S4'!B32</f>
        <v>10.433846884451938</v>
      </c>
      <c r="C3" s="1">
        <f>'Table S4'!C32</f>
        <v>11.964488740126308</v>
      </c>
      <c r="D3" s="1">
        <f>'Table S4'!D32</f>
        <v>11.182506771964357</v>
      </c>
      <c r="E3" s="1">
        <f>'Table S4'!E32</f>
        <v>10.751188234837837</v>
      </c>
      <c r="F3" s="1"/>
      <c r="G3" s="1">
        <f>'Table S4'!G32</f>
        <v>11.678138694450929</v>
      </c>
      <c r="H3" s="1">
        <f>'Table S4'!H32</f>
        <v>12.322431704030159</v>
      </c>
      <c r="I3" s="1">
        <f>'Table S4'!I32</f>
        <v>11.097511370478987</v>
      </c>
      <c r="J3" s="1">
        <f>'Table S4'!J32</f>
        <v>10.803325829997837</v>
      </c>
      <c r="K3" s="1">
        <f>'Table S4'!K32</f>
        <v>7.592139156970811</v>
      </c>
      <c r="L3" s="1">
        <f>'Table S4'!L32</f>
        <v>10.114553436398198</v>
      </c>
      <c r="M3" s="1">
        <f>'Table S4'!M32</f>
        <v>12.290493032064882</v>
      </c>
      <c r="N3" s="1"/>
      <c r="O3" s="1">
        <f>AVERAGE(B3:E3)</f>
        <v>11.083007657845108</v>
      </c>
      <c r="P3" s="1">
        <f>AVERAGE(B3:M3)</f>
        <v>10.930056714161113</v>
      </c>
    </row>
    <row r="21" spans="1:2" x14ac:dyDescent="0.3">
      <c r="A21" t="s">
        <v>29</v>
      </c>
      <c r="B21" t="s">
        <v>143</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B26" sqref="B26"/>
    </sheetView>
  </sheetViews>
  <sheetFormatPr defaultRowHeight="14.4" x14ac:dyDescent="0.3"/>
  <sheetData>
    <row r="1" spans="1:16" x14ac:dyDescent="0.3">
      <c r="A1" s="3" t="s">
        <v>148</v>
      </c>
    </row>
    <row r="3" spans="1:16"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6" x14ac:dyDescent="0.3">
      <c r="A4" s="6" t="s">
        <v>11</v>
      </c>
      <c r="B4" s="11">
        <f>1760*('Table S4'!B4/'Table S4'!B$4)^'Table S4'!B$31</f>
        <v>1760</v>
      </c>
      <c r="C4" s="11">
        <f>1760*('Table S4'!C4/'Table S4'!C$4)^'Table S4'!C$31</f>
        <v>1760</v>
      </c>
      <c r="D4" s="11">
        <f>1760*('Table S4'!D4/'Table S4'!D$4)^'Table S4'!D$31</f>
        <v>1760</v>
      </c>
      <c r="E4" s="11">
        <f>1760*('Table S4'!E4/'Table S4'!E$4)^'Table S4'!E$31</f>
        <v>1760</v>
      </c>
      <c r="F4" s="11"/>
      <c r="G4" s="11">
        <f>1760*('Table S4'!G4/'Table S4'!G$4)^'Table S4'!G$31</f>
        <v>1760</v>
      </c>
      <c r="H4" s="11">
        <f>1760*('Table S4'!H4/'Table S4'!H$4)^'Table S4'!H$31</f>
        <v>1760</v>
      </c>
      <c r="I4" s="11">
        <f>1760*('Table S4'!I4/'Table S4'!I$4)^'Table S4'!I$31</f>
        <v>1760</v>
      </c>
      <c r="J4" s="11">
        <f>1760*('Table S4'!J4/'Table S4'!J$4)^'Table S4'!J$31</f>
        <v>1760</v>
      </c>
      <c r="K4" s="11">
        <f>1760*('Table S4'!K4/'Table S4'!K$4)^'Table S4'!K$31</f>
        <v>1760</v>
      </c>
      <c r="L4" s="11">
        <f>1760*('Table S4'!L4/'Table S4'!L$4)^'Table S4'!L$31</f>
        <v>1760</v>
      </c>
      <c r="M4" s="11">
        <f>1760*('Table S4'!M4/'Table S4'!M$4)^'Table S4'!M$31</f>
        <v>1760</v>
      </c>
      <c r="N4" s="11"/>
      <c r="O4" s="11">
        <f>AVERAGE(B4:E4)</f>
        <v>1760</v>
      </c>
      <c r="P4" s="11">
        <f>AVERAGE(B4:M4)</f>
        <v>1760</v>
      </c>
    </row>
    <row r="5" spans="1:16" x14ac:dyDescent="0.3">
      <c r="A5" s="6" t="s">
        <v>12</v>
      </c>
      <c r="B5" s="11">
        <f>1760*('Table S4'!B5/'Table S4'!B$5)^'Table S4'!B$31</f>
        <v>1760</v>
      </c>
      <c r="C5" s="11">
        <f>1760*('Table S4'!C5/'Table S4'!C$5)^'Table S4'!C$31</f>
        <v>1760</v>
      </c>
      <c r="D5" s="11">
        <f>1760*('Table S4'!D5/'Table S4'!D$5)^'Table S4'!D$31</f>
        <v>1760</v>
      </c>
      <c r="E5" s="11">
        <f>1760*('Table S4'!E5/'Table S4'!E$5)^'Table S4'!E$31</f>
        <v>1760</v>
      </c>
      <c r="F5" s="11"/>
      <c r="G5" s="11"/>
      <c r="H5" s="11"/>
      <c r="I5" s="11"/>
      <c r="J5" s="11"/>
      <c r="K5" s="11"/>
      <c r="L5" s="11"/>
      <c r="M5" s="11"/>
      <c r="N5" s="11"/>
      <c r="O5" s="11">
        <f t="shared" ref="O5:O21" si="0">AVERAGE(B5:E5)</f>
        <v>1760</v>
      </c>
      <c r="P5" s="11">
        <f t="shared" ref="P5:P21" si="1">AVERAGE(B5:M5)</f>
        <v>1760</v>
      </c>
    </row>
    <row r="6" spans="1:16" x14ac:dyDescent="0.3">
      <c r="A6" s="6" t="s">
        <v>13</v>
      </c>
      <c r="B6" s="11">
        <f>1760*('Table S4'!B6/'Table S4'!B$4)^'Table S4'!B$31</f>
        <v>1606.7863235767409</v>
      </c>
      <c r="C6" s="11">
        <f>1760*('Table S4'!C6/'Table S4'!C$4)^'Table S4'!C$31</f>
        <v>1631.5140178751785</v>
      </c>
      <c r="D6" s="11">
        <f>1760*('Table S4'!D6/'Table S4'!D$4)^'Table S4'!D$31</f>
        <v>1647.7003563177607</v>
      </c>
      <c r="E6" s="11">
        <f>1760*('Table S4'!E6/'Table S4'!E$4)^'Table S4'!E$31</f>
        <v>1608.6184277159568</v>
      </c>
      <c r="F6" s="11"/>
      <c r="G6" s="11">
        <f>1760*('Table S4'!G6/'Table S4'!G$4)^'Table S4'!G$31</f>
        <v>1654.7418615774855</v>
      </c>
      <c r="H6" s="11">
        <f>1760*('Table S4'!H6/'Table S4'!H$4)^'Table S4'!H$31</f>
        <v>1651.3539340141401</v>
      </c>
      <c r="I6" s="11">
        <f>1760*('Table S4'!I6/'Table S4'!I$4)^'Table S4'!I$31</f>
        <v>1650.1405640084486</v>
      </c>
      <c r="J6" s="11">
        <f>1760*('Table S4'!J6/'Table S4'!J$4)^'Table S4'!J$31</f>
        <v>1648.3137079299581</v>
      </c>
      <c r="K6" s="11">
        <f>1760*('Table S4'!K6/'Table S4'!K$4)^'Table S4'!K$31</f>
        <v>1618.4795673041219</v>
      </c>
      <c r="L6" s="11">
        <f>1760*('Table S4'!L6/'Table S4'!L$4)^'Table S4'!L$31</f>
        <v>1650.0788969738394</v>
      </c>
      <c r="M6" s="11">
        <f>1760*('Table S4'!M6/'Table S4'!M$4)^'Table S4'!M$31</f>
        <v>1672.2133053653984</v>
      </c>
      <c r="N6" s="11"/>
      <c r="O6" s="11">
        <f t="shared" si="0"/>
        <v>1623.6547813714092</v>
      </c>
      <c r="P6" s="11">
        <f t="shared" si="1"/>
        <v>1639.9946329690026</v>
      </c>
    </row>
    <row r="7" spans="1:16" x14ac:dyDescent="0.3">
      <c r="A7" s="6" t="s">
        <v>14</v>
      </c>
      <c r="B7" s="11">
        <f>1760*('Table S4'!B7/'Table S4'!B$4)^'Table S4'!B$31</f>
        <v>1765.8868089768091</v>
      </c>
      <c r="C7" s="11">
        <f>1760*('Table S4'!C7/'Table S4'!C$4)^'Table S4'!C$31</f>
        <v>1763.644328198319</v>
      </c>
      <c r="D7" s="11">
        <f>1760*('Table S4'!D7/'Table S4'!D$4)^'Table S4'!D$31</f>
        <v>1766.3489710240424</v>
      </c>
      <c r="E7" s="11">
        <f>1760*('Table S4'!E7/'Table S4'!E$4)^'Table S4'!E$31</f>
        <v>1766.6323149307593</v>
      </c>
      <c r="F7" s="11"/>
      <c r="G7" s="11">
        <f>1760*('Table S4'!G7/'Table S4'!G$4)^'Table S4'!G$31</f>
        <v>1765.0025664265154</v>
      </c>
      <c r="H7" s="11">
        <f>1760*('Table S4'!H7/'Table S4'!H$4)^'Table S4'!H$31</f>
        <v>1767.6029866414028</v>
      </c>
      <c r="I7" s="11">
        <f>1760*('Table S4'!I7/'Table S4'!I$4)^'Table S4'!I$31</f>
        <v>1767.186284725509</v>
      </c>
      <c r="J7" s="11">
        <f>1760*('Table S4'!J7/'Table S4'!J$4)^'Table S4'!J$31</f>
        <v>1765.6140655213417</v>
      </c>
      <c r="K7" s="11"/>
      <c r="L7" s="11">
        <f>1760*('Table S4'!L7/'Table S4'!L$4)^'Table S4'!L$31</f>
        <v>1766.0344037795865</v>
      </c>
      <c r="M7" s="11">
        <f>1760*('Table S4'!M7/'Table S4'!M$4)^'Table S4'!M$31</f>
        <v>1768.1463637264121</v>
      </c>
      <c r="N7" s="11"/>
      <c r="O7" s="11">
        <f t="shared" si="0"/>
        <v>1765.6281057824824</v>
      </c>
      <c r="P7" s="11">
        <f t="shared" si="1"/>
        <v>1766.2099093950696</v>
      </c>
    </row>
    <row r="8" spans="1:16" x14ac:dyDescent="0.3">
      <c r="A8" s="6" t="s">
        <v>15</v>
      </c>
      <c r="B8" s="11">
        <f>1760*('Table S4'!B8/'Table S4'!B$4)^'Table S4'!B$31</f>
        <v>1768.7870018454271</v>
      </c>
      <c r="C8" s="11">
        <f>1760*('Table S4'!C8/'Table S4'!C$4)^'Table S4'!C$31</f>
        <v>1766.3223836538584</v>
      </c>
      <c r="D8" s="11">
        <f>1760*('Table S4'!D8/'Table S4'!D$4)^'Table S4'!D$31</f>
        <v>1770.9374111809059</v>
      </c>
      <c r="E8" s="11">
        <f>1760*('Table S4'!E8/'Table S4'!E$4)^'Table S4'!E$31</f>
        <v>1769.304979956331</v>
      </c>
      <c r="F8" s="11"/>
      <c r="G8" s="11">
        <f>1760*('Table S4'!G8/'Table S4'!G$4)^'Table S4'!G$31</f>
        <v>1769.3225957545762</v>
      </c>
      <c r="H8" s="11">
        <f>1760*('Table S4'!H8/'Table S4'!H$4)^'Table S4'!H$31</f>
        <v>1771.9549365626544</v>
      </c>
      <c r="I8" s="11">
        <f>1760*('Table S4'!I8/'Table S4'!I$4)^'Table S4'!I$31</f>
        <v>1774.1853328293641</v>
      </c>
      <c r="J8" s="11">
        <f>1760*('Table S4'!J8/'Table S4'!J$4)^'Table S4'!J$31</f>
        <v>1769.1484192447215</v>
      </c>
      <c r="K8" s="11"/>
      <c r="L8" s="11">
        <f>1760*('Table S4'!L8/'Table S4'!L$4)^'Table S4'!L$31</f>
        <v>1768.8756923491021</v>
      </c>
      <c r="M8" s="11">
        <f>1760*('Table S4'!M8/'Table S4'!M$4)^'Table S4'!M$31</f>
        <v>1774.774493351601</v>
      </c>
      <c r="N8" s="11"/>
      <c r="O8" s="11">
        <f t="shared" si="0"/>
        <v>1768.8379441591305</v>
      </c>
      <c r="P8" s="11">
        <f t="shared" si="1"/>
        <v>1770.3613246728542</v>
      </c>
    </row>
    <row r="9" spans="1:16" x14ac:dyDescent="0.3">
      <c r="A9" s="6" t="s">
        <v>16</v>
      </c>
      <c r="B9" s="11">
        <f>1760*('Table S4'!B9/'Table S4'!B$4)^'Table S4'!B$31</f>
        <v>1765.4413472722142</v>
      </c>
      <c r="C9" s="11">
        <f>1760*('Table S4'!C9/'Table S4'!C$4)^'Table S4'!C$31</f>
        <v>1764.70619933795</v>
      </c>
      <c r="D9" s="11">
        <f>1760*('Table S4'!D9/'Table S4'!D$4)^'Table S4'!D$31</f>
        <v>1765.7122486170824</v>
      </c>
      <c r="E9" s="11">
        <f>1760*('Table S4'!E9/'Table S4'!E$4)^'Table S4'!E$31</f>
        <v>1765.8975762487314</v>
      </c>
      <c r="F9" s="11"/>
      <c r="G9" s="11">
        <f>1760*('Table S4'!G9/'Table S4'!G$4)^'Table S4'!G$31</f>
        <v>1764.1325349456195</v>
      </c>
      <c r="H9" s="11">
        <f>1760*('Table S4'!H9/'Table S4'!H$4)^'Table S4'!H$31</f>
        <v>1765.4122489602487</v>
      </c>
      <c r="I9" s="11">
        <f>1760*('Table S4'!I9/'Table S4'!I$4)^'Table S4'!I$31</f>
        <v>1767.2655440470387</v>
      </c>
      <c r="J9" s="11">
        <f>1760*('Table S4'!J9/'Table S4'!J$4)^'Table S4'!J$31</f>
        <v>1764.7136829026861</v>
      </c>
      <c r="K9" s="11"/>
      <c r="L9" s="11">
        <f>1760*('Table S4'!L9/'Table S4'!L$4)^'Table S4'!L$31</f>
        <v>1765.2024960510109</v>
      </c>
      <c r="M9" s="11">
        <f>1760*('Table S4'!M9/'Table S4'!M$4)^'Table S4'!M$31</f>
        <v>1770.86240702136</v>
      </c>
      <c r="N9" s="11"/>
      <c r="O9" s="11">
        <f t="shared" si="0"/>
        <v>1765.4393428689946</v>
      </c>
      <c r="P9" s="11">
        <f t="shared" si="1"/>
        <v>1765.9346285403942</v>
      </c>
    </row>
    <row r="10" spans="1:16" x14ac:dyDescent="0.3">
      <c r="A10" s="6" t="s">
        <v>17</v>
      </c>
      <c r="B10" s="11">
        <f>1760*('Table S4'!B10/'Table S4'!B$4)^'Table S4'!B$31</f>
        <v>1766.7411480936159</v>
      </c>
      <c r="C10" s="11">
        <f>1760*('Table S4'!C10/'Table S4'!C$4)^'Table S4'!C$31</f>
        <v>1766.8332948411521</v>
      </c>
      <c r="D10" s="11">
        <f>1760*('Table S4'!D10/'Table S4'!D$4)^'Table S4'!D$31</f>
        <v>1767.1852868785531</v>
      </c>
      <c r="E10" s="11">
        <f>1760*('Table S4'!E10/'Table S4'!E$4)^'Table S4'!E$31</f>
        <v>1767.6385946660253</v>
      </c>
      <c r="F10" s="11"/>
      <c r="G10" s="11">
        <f>1760*('Table S4'!G10/'Table S4'!G$4)^'Table S4'!G$31</f>
        <v>1766.4958305024354</v>
      </c>
      <c r="H10" s="11">
        <f>1760*('Table S4'!H10/'Table S4'!H$4)^'Table S4'!H$31</f>
        <v>1767.8223262728629</v>
      </c>
      <c r="I10" s="11">
        <f>1760*('Table S4'!I10/'Table S4'!I$4)^'Table S4'!I$31</f>
        <v>1769.7257155432681</v>
      </c>
      <c r="J10" s="11">
        <f>1760*('Table S4'!J10/'Table S4'!J$4)^'Table S4'!J$31</f>
        <v>1767.2292894347993</v>
      </c>
      <c r="K10" s="11"/>
      <c r="L10" s="11">
        <f>1760*('Table S4'!L10/'Table S4'!L$4)^'Table S4'!L$31</f>
        <v>1765.9587470364545</v>
      </c>
      <c r="M10" s="11">
        <f>1760*('Table S4'!M10/'Table S4'!M$4)^'Table S4'!M$31</f>
        <v>1771.8718962126068</v>
      </c>
      <c r="N10" s="11"/>
      <c r="O10" s="11">
        <f t="shared" si="0"/>
        <v>1767.0995811198363</v>
      </c>
      <c r="P10" s="11">
        <f t="shared" si="1"/>
        <v>1767.750212948177</v>
      </c>
    </row>
    <row r="11" spans="1:16" x14ac:dyDescent="0.3">
      <c r="A11" s="6" t="s">
        <v>18</v>
      </c>
      <c r="B11" s="11">
        <f>1760*('Table S4'!B11/'Table S4'!B$5)^'Table S4'!B$31</f>
        <v>1809.7700742085351</v>
      </c>
      <c r="C11" s="11">
        <f>1760*('Table S4'!C11/'Table S4'!C$5)^'Table S4'!C$31</f>
        <v>1820.905970671249</v>
      </c>
      <c r="D11" s="11">
        <f>1760*('Table S4'!D11/'Table S4'!D$5)^'Table S4'!D$31</f>
        <v>1821.0886324644337</v>
      </c>
      <c r="E11" s="11">
        <f>1760*('Table S4'!E11/'Table S4'!E$5)^'Table S4'!E$31</f>
        <v>1814.0653388737719</v>
      </c>
      <c r="F11" s="11"/>
      <c r="G11" s="11"/>
      <c r="H11" s="11"/>
      <c r="I11" s="11"/>
      <c r="J11" s="11"/>
      <c r="K11" s="11"/>
      <c r="L11" s="11"/>
      <c r="M11" s="11"/>
      <c r="N11" s="11"/>
      <c r="O11" s="11">
        <f t="shared" si="0"/>
        <v>1816.4575040544973</v>
      </c>
      <c r="P11" s="11">
        <f t="shared" si="1"/>
        <v>1816.4575040544973</v>
      </c>
    </row>
    <row r="12" spans="1:16" x14ac:dyDescent="0.3">
      <c r="A12" s="6" t="s">
        <v>19</v>
      </c>
      <c r="B12" s="11">
        <f>1760*('Table S4'!B12/'Table S4'!B$4)^'Table S4'!B$31</f>
        <v>1757.6767677361672</v>
      </c>
      <c r="C12" s="11">
        <f>1760*('Table S4'!C12/'Table S4'!C$4)^'Table S4'!C$31</f>
        <v>1760.3384522361052</v>
      </c>
      <c r="D12" s="11">
        <f>1760*('Table S4'!D12/'Table S4'!D$4)^'Table S4'!D$31</f>
        <v>1759.2882712403202</v>
      </c>
      <c r="E12" s="11">
        <f>1760*('Table S4'!E12/'Table S4'!E$4)^'Table S4'!E$31</f>
        <v>1756.7764264625903</v>
      </c>
      <c r="F12" s="11"/>
      <c r="G12" s="11">
        <f>1760*('Table S4'!G12/'Table S4'!G$4)^'Table S4'!G$31</f>
        <v>1758.3518169868055</v>
      </c>
      <c r="H12" s="11">
        <f>1760*('Table S4'!H12/'Table S4'!H$4)^'Table S4'!H$31</f>
        <v>1753.0599105935526</v>
      </c>
      <c r="I12" s="11">
        <f>1760*('Table S4'!I12/'Table S4'!I$4)^'Table S4'!I$31</f>
        <v>1759.3707185415246</v>
      </c>
      <c r="J12" s="11">
        <f>1760*('Table S4'!J12/'Table S4'!J$4)^'Table S4'!J$31</f>
        <v>1759.2538488769874</v>
      </c>
      <c r="K12" s="11">
        <f>1760*('Table S4'!K12/'Table S4'!K$4)^'Table S4'!K$31</f>
        <v>1759.3256114826056</v>
      </c>
      <c r="L12" s="11">
        <f>1760*('Table S4'!L12/'Table S4'!L$4)^'Table S4'!L$31</f>
        <v>1759.2482737896721</v>
      </c>
      <c r="M12" s="11">
        <f>1760*('Table S4'!M12/'Table S4'!M$4)^'Table S4'!M$31</f>
        <v>1756.7950771908841</v>
      </c>
      <c r="N12" s="11"/>
      <c r="O12" s="11">
        <f t="shared" si="0"/>
        <v>1758.5199794187959</v>
      </c>
      <c r="P12" s="11">
        <f t="shared" si="1"/>
        <v>1758.1350159215651</v>
      </c>
    </row>
    <row r="13" spans="1:16" x14ac:dyDescent="0.3">
      <c r="A13" s="6" t="s">
        <v>20</v>
      </c>
      <c r="B13" s="11">
        <f>1760*('Table S4'!B13/'Table S4'!B$4)^'Table S4'!B$31</f>
        <v>1758.5243237112004</v>
      </c>
      <c r="C13" s="11">
        <f>1760*('Table S4'!C13/'Table S4'!C$4)^'Table S4'!C$31</f>
        <v>1760.3384522361052</v>
      </c>
      <c r="D13" s="11">
        <f>1760*('Table S4'!D13/'Table S4'!D$4)^'Table S4'!D$31</f>
        <v>1759.762700395255</v>
      </c>
      <c r="E13" s="11">
        <f>1760*('Table S4'!E13/'Table S4'!E$4)^'Table S4'!E$31</f>
        <v>1758.8475629058639</v>
      </c>
      <c r="F13" s="11"/>
      <c r="G13" s="11">
        <f>1760*('Table S4'!G13/'Table S4'!G$4)^'Table S4'!G$31</f>
        <v>1758.6400502677925</v>
      </c>
      <c r="H13" s="11">
        <f>1760*('Table S4'!H13/'Table S4'!H$4)^'Table S4'!H$31</f>
        <v>1755.6133964949704</v>
      </c>
      <c r="I13" s="11">
        <f>1760*('Table S4'!I13/'Table S4'!I$4)^'Table S4'!I$31</f>
        <v>1758.4275446532408</v>
      </c>
      <c r="J13" s="11">
        <f>1760*('Table S4'!J13/'Table S4'!J$4)^'Table S4'!J$31</f>
        <v>1759.1792646106164</v>
      </c>
      <c r="K13" s="11">
        <f>1760*('Table S4'!K13/'Table S4'!K$4)^'Table S4'!K$31</f>
        <v>1759.7032141168331</v>
      </c>
      <c r="L13" s="11">
        <f>1760*('Table S4'!L13/'Table S4'!L$4)^'Table S4'!L$31</f>
        <v>1759.5488958413055</v>
      </c>
      <c r="M13" s="11">
        <f>1760*('Table S4'!M13/'Table S4'!M$4)^'Table S4'!M$31</f>
        <v>1757.7467859169533</v>
      </c>
      <c r="N13" s="11"/>
      <c r="O13" s="11">
        <f t="shared" si="0"/>
        <v>1759.3682598121061</v>
      </c>
      <c r="P13" s="11">
        <f t="shared" si="1"/>
        <v>1758.7574719227393</v>
      </c>
    </row>
    <row r="14" spans="1:16" x14ac:dyDescent="0.3">
      <c r="A14" s="6" t="s">
        <v>21</v>
      </c>
      <c r="B14" s="11">
        <f>1760*('Table S4'!B14/'Table S4'!B$4)^'Table S4'!B$31</f>
        <v>1758.4874589179526</v>
      </c>
      <c r="C14" s="11">
        <f>1760*('Table S4'!C14/'Table S4'!C$4)^'Table S4'!C$31</f>
        <v>1759.8308165004494</v>
      </c>
      <c r="D14" s="11">
        <f>1760*('Table S4'!D14/'Table S4'!D$4)^'Table S4'!D$31</f>
        <v>1759.4068572783103</v>
      </c>
      <c r="E14" s="11">
        <f>1760*('Table S4'!E14/'Table S4'!E$4)^'Table S4'!E$31</f>
        <v>1757.9649017666118</v>
      </c>
      <c r="F14" s="11"/>
      <c r="G14" s="11">
        <f>1760*('Table S4'!G14/'Table S4'!G$4)^'Table S4'!G$31</f>
        <v>1759.1755642542669</v>
      </c>
      <c r="H14" s="11">
        <f>1760*('Table S4'!H14/'Table S4'!H$4)^'Table S4'!H$31</f>
        <v>1758.2604029049976</v>
      </c>
      <c r="I14" s="11">
        <f>1760*('Table S4'!I14/'Table S4'!I$4)^'Table S4'!I$31</f>
        <v>1759.1741499605268</v>
      </c>
      <c r="J14" s="11">
        <f>1760*('Table S4'!J14/'Table S4'!J$4)^'Table S4'!J$31</f>
        <v>1759.2911431125854</v>
      </c>
      <c r="K14" s="11">
        <f>1760*('Table S4'!K14/'Table S4'!K$4)^'Table S4'!K$31</f>
        <v>1759.7301910837552</v>
      </c>
      <c r="L14" s="11">
        <f>1760*('Table S4'!L14/'Table S4'!L$4)^'Table S4'!L$31</f>
        <v>1759.2482737896721</v>
      </c>
      <c r="M14" s="11">
        <f>1760*('Table S4'!M14/'Table S4'!M$4)^'Table S4'!M$31</f>
        <v>1758.4828377931522</v>
      </c>
      <c r="N14" s="11"/>
      <c r="O14" s="11">
        <f t="shared" si="0"/>
        <v>1758.922508615831</v>
      </c>
      <c r="P14" s="11">
        <f t="shared" si="1"/>
        <v>1759.0047815783894</v>
      </c>
    </row>
    <row r="15" spans="1:16" x14ac:dyDescent="0.3">
      <c r="A15" s="6" t="s">
        <v>22</v>
      </c>
      <c r="B15" s="11">
        <f>1760*('Table S4'!B15/'Table S4'!B$4)^'Table S4'!B$31</f>
        <v>1758.3031547757728</v>
      </c>
      <c r="C15" s="11">
        <f>1760*('Table S4'!C15/'Table S4'!C$4)^'Table S4'!C$31</f>
        <v>1760.5923660223834</v>
      </c>
      <c r="D15" s="11">
        <f>1760*('Table S4'!D15/'Table S4'!D$4)^'Table S4'!D$31</f>
        <v>1759.8022463919554</v>
      </c>
      <c r="E15" s="11">
        <f>1760*('Table S4'!E15/'Table S4'!E$4)^'Table S4'!E$31</f>
        <v>1757.6197188823194</v>
      </c>
      <c r="F15" s="11"/>
      <c r="G15" s="11">
        <f>1760*('Table S4'!G15/'Table S4'!G$4)^'Table S4'!G$31</f>
        <v>1758.9695629248984</v>
      </c>
      <c r="H15" s="11">
        <f>1760*('Table S4'!H15/'Table S4'!H$4)^'Table S4'!H$31</f>
        <v>1757.6522660516584</v>
      </c>
      <c r="I15" s="11">
        <f>1760*('Table S4'!I15/'Table S4'!I$4)^'Table S4'!I$31</f>
        <v>1758.9383191010945</v>
      </c>
      <c r="J15" s="11">
        <f>1760*('Table S4'!J15/'Table S4'!J$4)^'Table S4'!J$31</f>
        <v>1759.7760957584564</v>
      </c>
      <c r="K15" s="11">
        <f>1760*('Table S4'!K15/'Table S4'!K$4)^'Table S4'!K$31</f>
        <v>1759.9190498317625</v>
      </c>
      <c r="L15" s="11">
        <f>1760*('Table S4'!L15/'Table S4'!L$4)^'Table S4'!L$31</f>
        <v>1759.4737317765102</v>
      </c>
      <c r="M15" s="11">
        <f>1760*('Table S4'!M15/'Table S4'!M$4)^'Table S4'!M$31</f>
        <v>1757.6602283098523</v>
      </c>
      <c r="N15" s="11"/>
      <c r="O15" s="11">
        <f t="shared" si="0"/>
        <v>1759.0793715181076</v>
      </c>
      <c r="P15" s="11">
        <f t="shared" si="1"/>
        <v>1758.9733399842421</v>
      </c>
    </row>
    <row r="16" spans="1:16" x14ac:dyDescent="0.3">
      <c r="A16" s="6" t="s">
        <v>23</v>
      </c>
      <c r="B16" s="11">
        <f>1760*('Table S4'!B16/'Table S4'!B$5)^'Table S4'!B$31</f>
        <v>1749.2866038180125</v>
      </c>
      <c r="C16" s="11">
        <f>1760*('Table S4'!C16/'Table S4'!C$5)^'Table S4'!C$31</f>
        <v>1760.0529838003129</v>
      </c>
      <c r="D16" s="11">
        <f>1760*('Table S4'!D16/'Table S4'!D$5)^'Table S4'!D$31</f>
        <v>1757.0749350616857</v>
      </c>
      <c r="E16" s="11">
        <f>1760*('Table S4'!E16/'Table S4'!E$5)^'Table S4'!E$31</f>
        <v>1742.5547390377014</v>
      </c>
      <c r="F16" s="11"/>
      <c r="G16" s="11"/>
      <c r="H16" s="11"/>
      <c r="I16" s="11"/>
      <c r="J16" s="11"/>
      <c r="K16" s="11"/>
      <c r="L16" s="11"/>
      <c r="M16" s="11"/>
      <c r="N16" s="11"/>
      <c r="O16" s="11">
        <f t="shared" si="0"/>
        <v>1752.2423154294281</v>
      </c>
      <c r="P16" s="11">
        <f t="shared" si="1"/>
        <v>1752.2423154294281</v>
      </c>
    </row>
    <row r="17" spans="1:16" x14ac:dyDescent="0.3">
      <c r="A17" s="6" t="s">
        <v>24</v>
      </c>
      <c r="B17" s="11">
        <f>1760*('Table S4'!B17/'Table S4'!B$4)^'Table S4'!B$31</f>
        <v>1756.6091055466497</v>
      </c>
      <c r="C17" s="11">
        <f>1760*('Table S4'!C17/'Table S4'!C$4)^'Table S4'!C$31</f>
        <v>1754.9789108496523</v>
      </c>
      <c r="D17" s="11">
        <f>1760*('Table S4'!D17/'Table S4'!D$4)^'Table S4'!D$31</f>
        <v>1755.8554272487379</v>
      </c>
      <c r="E17" s="11">
        <f>1760*('Table S4'!E17/'Table S4'!E$4)^'Table S4'!E$31</f>
        <v>1757.0829981491675</v>
      </c>
      <c r="F17" s="11"/>
      <c r="G17" s="11">
        <f>1760*('Table S4'!G17/'Table S4'!G$4)^'Table S4'!G$31</f>
        <v>1758.3929880115948</v>
      </c>
      <c r="H17" s="11">
        <f>1760*('Table S4'!H17/'Table S4'!H$4)^'Table S4'!H$31</f>
        <v>1756.4371137202834</v>
      </c>
      <c r="I17" s="11">
        <f>1760*('Table S4'!I17/'Table S4'!I$4)^'Table S4'!I$31</f>
        <v>1755.7600850710935</v>
      </c>
      <c r="J17" s="11">
        <f>1760*('Table S4'!J17/'Table S4'!J$4)^'Table S4'!J$31</f>
        <v>1757.3909226061558</v>
      </c>
      <c r="K17" s="11">
        <f>1760*('Table S4'!K17/'Table S4'!K$4)^'Table S4'!K$31</f>
        <v>1757.7358208916532</v>
      </c>
      <c r="L17" s="11">
        <f>1760*('Table S4'!L17/'Table S4'!L$4)^'Table S4'!L$31</f>
        <v>1757.8966025456903</v>
      </c>
      <c r="M17" s="11">
        <f>1760*('Table S4'!M17/'Table S4'!M$4)^'Table S4'!M$31</f>
        <v>1756.4060110927996</v>
      </c>
      <c r="N17" s="11"/>
      <c r="O17" s="11">
        <f t="shared" si="0"/>
        <v>1756.1316104485518</v>
      </c>
      <c r="P17" s="11">
        <f t="shared" si="1"/>
        <v>1756.7769077939527</v>
      </c>
    </row>
    <row r="18" spans="1:16" x14ac:dyDescent="0.3">
      <c r="A18" s="6" t="s">
        <v>25</v>
      </c>
      <c r="B18" s="11">
        <f>1760*('Table S4'!B18/'Table S4'!B$4)^'Table S4'!B$31</f>
        <v>1755.322024054434</v>
      </c>
      <c r="C18" s="11">
        <f>1760*('Table S4'!C18/'Table S4'!C$4)^'Table S4'!C$31</f>
        <v>1752.2888287961614</v>
      </c>
      <c r="D18" s="11">
        <f>1760*('Table S4'!D18/'Table S4'!D$4)^'Table S4'!D$31</f>
        <v>1756.1311938556996</v>
      </c>
      <c r="E18" s="11">
        <f>1760*('Table S4'!E18/'Table S4'!E$4)^'Table S4'!E$31</f>
        <v>1756.2401461531526</v>
      </c>
      <c r="F18" s="11"/>
      <c r="G18" s="11">
        <f>1760*('Table S4'!G18/'Table S4'!G$4)^'Table S4'!G$31</f>
        <v>1758.8871744386217</v>
      </c>
      <c r="H18" s="11">
        <f>1760*('Table S4'!H18/'Table S4'!H$4)^'Table S4'!H$31</f>
        <v>1754.6604764081967</v>
      </c>
      <c r="I18" s="11">
        <f>1760*('Table S4'!I18/'Table S4'!I$4)^'Table S4'!I$31</f>
        <v>1754.7812059691482</v>
      </c>
      <c r="J18" s="11">
        <f>1760*('Table S4'!J18/'Table S4'!J$4)^'Table S4'!J$31</f>
        <v>1757.2048223401721</v>
      </c>
      <c r="K18" s="11">
        <f>1760*('Table S4'!K18/'Table S4'!K$4)^'Table S4'!K$31</f>
        <v>1757.3589462389175</v>
      </c>
      <c r="L18" s="11">
        <f>1760*('Table S4'!L18/'Table S4'!L$4)^'Table S4'!L$31</f>
        <v>1756.996512561695</v>
      </c>
      <c r="M18" s="11">
        <f>1760*('Table S4'!M18/'Table S4'!M$4)^'Table S4'!M$31</f>
        <v>1754.8513080633536</v>
      </c>
      <c r="N18" s="11"/>
      <c r="O18" s="11">
        <f t="shared" si="0"/>
        <v>1754.9955482148619</v>
      </c>
      <c r="P18" s="11">
        <f t="shared" si="1"/>
        <v>1755.8838762617777</v>
      </c>
    </row>
    <row r="19" spans="1:16" x14ac:dyDescent="0.3">
      <c r="A19" s="6" t="s">
        <v>26</v>
      </c>
      <c r="B19" s="11">
        <f>1760*('Table S4'!B19/'Table S4'!B$4)^'Table S4'!B$31</f>
        <v>1757.1612060879472</v>
      </c>
      <c r="C19" s="11">
        <f>1760*('Table S4'!C19/'Table S4'!C$4)^'Table S4'!C$31</f>
        <v>1755.863166177583</v>
      </c>
      <c r="D19" s="11">
        <f>1760*('Table S4'!D19/'Table S4'!D$4)^'Table S4'!D$31</f>
        <v>1757.3139205334496</v>
      </c>
      <c r="E19" s="11">
        <f>1760*('Table S4'!E19/'Table S4'!E$4)^'Table S4'!E$31</f>
        <v>1757.1596553717918</v>
      </c>
      <c r="F19" s="11"/>
      <c r="G19" s="11">
        <f>1760*('Table S4'!G19/'Table S4'!G$4)^'Table S4'!G$31</f>
        <v>1756.8708042310404</v>
      </c>
      <c r="H19" s="11">
        <f>1760*('Table S4'!H19/'Table S4'!H$4)^'Table S4'!H$31</f>
        <v>1755.6133964949704</v>
      </c>
      <c r="I19" s="11">
        <f>1760*('Table S4'!I19/'Table S4'!I$4)^'Table S4'!I$31</f>
        <v>1756.1127187865256</v>
      </c>
      <c r="J19" s="11">
        <f>1760*('Table S4'!J19/'Table S4'!J$4)^'Table S4'!J$31</f>
        <v>1756.5351505936883</v>
      </c>
      <c r="K19" s="11">
        <f>1760*('Table S4'!K19/'Table S4'!K$4)^'Table S4'!K$31</f>
        <v>1757.2512933712439</v>
      </c>
      <c r="L19" s="11">
        <f>1760*('Table S4'!L19/'Table S4'!L$4)^'Table S4'!L$31</f>
        <v>1758.0466971550838</v>
      </c>
      <c r="M19" s="11">
        <f>1760*('Table S4'!M19/'Table S4'!M$4)^'Table S4'!M$31</f>
        <v>1757.0977922231293</v>
      </c>
      <c r="N19" s="11"/>
      <c r="O19" s="11">
        <f t="shared" si="0"/>
        <v>1756.8744870426931</v>
      </c>
      <c r="P19" s="11">
        <f t="shared" si="1"/>
        <v>1756.8205273660415</v>
      </c>
    </row>
    <row r="20" spans="1:16" x14ac:dyDescent="0.3">
      <c r="A20" s="6" t="s">
        <v>27</v>
      </c>
      <c r="B20" s="11">
        <f>1760*('Table S4'!B20/'Table S4'!B$4)^'Table S4'!B$31</f>
        <v>1755.542552029681</v>
      </c>
      <c r="C20" s="11">
        <f>1760*('Table S4'!C20/'Table S4'!C$4)^'Table S4'!C$31</f>
        <v>1749.2710839573715</v>
      </c>
      <c r="D20" s="11">
        <f>1760*('Table S4'!D20/'Table S4'!D$4)^'Table S4'!D$31</f>
        <v>1755.737265050011</v>
      </c>
      <c r="E20" s="11">
        <f>1760*('Table S4'!E20/'Table S4'!E$4)^'Table S4'!E$31</f>
        <v>1755.5893250477295</v>
      </c>
      <c r="F20" s="11"/>
      <c r="G20" s="11">
        <f>1760*('Table S4'!G20/'Table S4'!G$4)^'Table S4'!G$31</f>
        <v>1756.3365406801331</v>
      </c>
      <c r="H20" s="11">
        <f>1760*('Table S4'!H20/'Table S4'!H$4)^'Table S4'!H$31</f>
        <v>1752.3685778376928</v>
      </c>
      <c r="I20" s="11">
        <f>1760*('Table S4'!I20/'Table S4'!I$4)^'Table S4'!I$31</f>
        <v>1751.8503713445723</v>
      </c>
      <c r="J20" s="11">
        <f>1760*('Table S4'!J20/'Table S4'!J$4)^'Table S4'!J$31</f>
        <v>1755.3457396643246</v>
      </c>
      <c r="K20" s="11">
        <f>1760*('Table S4'!K20/'Table S4'!K$4)^'Table S4'!K$31</f>
        <v>1756.6594059111094</v>
      </c>
      <c r="L20" s="11">
        <f>1760*('Table S4'!L20/'Table S4'!L$4)^'Table S4'!L$31</f>
        <v>1757.1464707180369</v>
      </c>
      <c r="M20" s="11">
        <f>1760*('Table S4'!M20/'Table S4'!M$4)^'Table S4'!M$31</f>
        <v>1755.2397497978538</v>
      </c>
      <c r="N20" s="11"/>
      <c r="O20" s="11">
        <f t="shared" si="0"/>
        <v>1754.0350565211982</v>
      </c>
      <c r="P20" s="11">
        <f t="shared" si="1"/>
        <v>1754.6442801853193</v>
      </c>
    </row>
    <row r="21" spans="1:16" x14ac:dyDescent="0.3">
      <c r="A21" s="6" t="s">
        <v>28</v>
      </c>
      <c r="B21" s="11">
        <f>1760*('Table S4'!B21/'Table S4'!B$5)^'Table S4'!B$31</f>
        <v>1737.1817449698008</v>
      </c>
      <c r="C21" s="11">
        <f>1760*('Table S4'!C21/'Table S4'!C$5)^'Table S4'!C$31</f>
        <v>1694.0512070810746</v>
      </c>
      <c r="D21" s="11">
        <f>1760*('Table S4'!D21/'Table S4'!D$5)^'Table S4'!D$31</f>
        <v>1738.5408316655919</v>
      </c>
      <c r="E21" s="11">
        <f>1760*('Table S4'!E21/'Table S4'!E$5)^'Table S4'!E$31</f>
        <v>1738.3818058310428</v>
      </c>
      <c r="F21" s="11"/>
      <c r="G21" s="11"/>
      <c r="H21" s="11"/>
      <c r="I21" s="11"/>
      <c r="J21" s="11"/>
      <c r="K21" s="11"/>
      <c r="L21" s="11"/>
      <c r="M21" s="11"/>
      <c r="N21" s="11"/>
      <c r="O21" s="11">
        <f t="shared" si="0"/>
        <v>1727.0388973868776</v>
      </c>
      <c r="P21" s="11">
        <f t="shared" si="1"/>
        <v>1727.0388973868776</v>
      </c>
    </row>
    <row r="22" spans="1:16" x14ac:dyDescent="0.3">
      <c r="B22" s="1"/>
      <c r="C22" s="1"/>
      <c r="D22" s="1"/>
      <c r="E22" s="1"/>
      <c r="F22" s="1"/>
      <c r="G22" s="1"/>
      <c r="H22" s="1"/>
      <c r="I22" s="1"/>
      <c r="J22" s="1"/>
      <c r="K22" s="1"/>
      <c r="L22" s="1"/>
      <c r="M22" s="1"/>
    </row>
    <row r="23" spans="1:16" x14ac:dyDescent="0.3">
      <c r="A23" s="6" t="s">
        <v>52</v>
      </c>
      <c r="B23" s="13" t="s">
        <v>128</v>
      </c>
      <c r="C23" s="13"/>
      <c r="D23" s="13"/>
      <c r="E23" s="13"/>
      <c r="F23" s="13"/>
      <c r="G23" s="13"/>
      <c r="H23" s="13"/>
      <c r="I23" s="13"/>
      <c r="J23" s="13"/>
      <c r="K23" s="13"/>
      <c r="L23" s="13"/>
      <c r="M23" s="13"/>
      <c r="N23" s="13"/>
      <c r="O23" s="13"/>
      <c r="P23" s="13"/>
    </row>
    <row r="24" spans="1:16" ht="32.4" customHeight="1" x14ac:dyDescent="0.3">
      <c r="B24" s="12" t="s">
        <v>53</v>
      </c>
      <c r="C24" s="12"/>
      <c r="D24" s="12"/>
      <c r="E24" s="12"/>
      <c r="F24" s="12"/>
      <c r="G24" s="12"/>
      <c r="H24" s="12"/>
      <c r="I24" s="12"/>
      <c r="J24" s="12"/>
      <c r="K24" s="12"/>
      <c r="L24" s="12"/>
      <c r="M24" s="12"/>
      <c r="N24" s="12"/>
      <c r="O24" s="12"/>
      <c r="P24" s="12"/>
    </row>
    <row r="25" spans="1:16" x14ac:dyDescent="0.3">
      <c r="B25" s="1" t="s">
        <v>149</v>
      </c>
      <c r="C25" s="1"/>
      <c r="D25" s="1"/>
      <c r="E25" s="1"/>
      <c r="F25" s="1"/>
      <c r="G25" s="1"/>
      <c r="H25" s="1"/>
      <c r="I25" s="1"/>
      <c r="J25" s="1"/>
      <c r="K25" s="1"/>
      <c r="L25" s="1"/>
      <c r="M25" s="1"/>
    </row>
  </sheetData>
  <mergeCells count="2">
    <mergeCell ref="B24:P24"/>
    <mergeCell ref="B23:P2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topLeftCell="A16" workbookViewId="0">
      <selection activeCell="B3" sqref="B3:P3"/>
    </sheetView>
  </sheetViews>
  <sheetFormatPr defaultRowHeight="14.4" x14ac:dyDescent="0.3"/>
  <cols>
    <col min="1" max="1" width="8.88671875" style="3"/>
  </cols>
  <sheetData>
    <row r="1" spans="1:19" s="3" customFormat="1" x14ac:dyDescent="0.3">
      <c r="A1" s="3" t="s">
        <v>129</v>
      </c>
      <c r="G1" s="14"/>
      <c r="H1" s="14"/>
      <c r="I1" s="14"/>
      <c r="J1" s="14"/>
      <c r="K1" s="14"/>
    </row>
    <row r="2" spans="1:19" x14ac:dyDescent="0.3">
      <c r="G2" s="1"/>
      <c r="H2" s="1"/>
      <c r="I2" s="1"/>
      <c r="J2" s="1"/>
      <c r="K2" s="1"/>
    </row>
    <row r="3" spans="1:19" s="61" customFormat="1" ht="42" customHeight="1" x14ac:dyDescent="0.3">
      <c r="B3" s="61" t="s">
        <v>0</v>
      </c>
      <c r="C3" s="61" t="s">
        <v>1</v>
      </c>
      <c r="D3" s="61" t="s">
        <v>2</v>
      </c>
      <c r="E3" s="61" t="s">
        <v>3</v>
      </c>
      <c r="G3" s="61" t="s">
        <v>4</v>
      </c>
      <c r="H3" s="61" t="s">
        <v>5</v>
      </c>
      <c r="I3" s="61" t="s">
        <v>6</v>
      </c>
      <c r="J3" s="61" t="s">
        <v>7</v>
      </c>
      <c r="K3" s="61" t="s">
        <v>8</v>
      </c>
      <c r="L3" s="61" t="s">
        <v>9</v>
      </c>
      <c r="M3" s="61" t="s">
        <v>10</v>
      </c>
      <c r="O3" s="61" t="s">
        <v>35</v>
      </c>
      <c r="P3" s="61" t="s">
        <v>34</v>
      </c>
    </row>
    <row r="4" spans="1:19" x14ac:dyDescent="0.3">
      <c r="A4" s="6" t="s">
        <v>11</v>
      </c>
      <c r="B4" s="1">
        <f>'Table S5'!B4-'Table S5'!B$4</f>
        <v>0</v>
      </c>
      <c r="C4" s="1">
        <f>'Table S5'!C4-'Table S5'!C$4</f>
        <v>0</v>
      </c>
      <c r="D4" s="1">
        <f>'Table S5'!D4-'Table S5'!D$4</f>
        <v>0</v>
      </c>
      <c r="E4" s="1">
        <f>'Table S5'!E4-'Table S5'!E$4</f>
        <v>0</v>
      </c>
      <c r="F4" s="1"/>
      <c r="G4" s="1">
        <f>'Table S5'!G4-'Table S5'!G$4</f>
        <v>0</v>
      </c>
      <c r="H4" s="1">
        <f>'Table S5'!H4-'Table S5'!H$4</f>
        <v>0</v>
      </c>
      <c r="I4" s="1">
        <f>'Table S5'!I4-'Table S5'!I$4</f>
        <v>0</v>
      </c>
      <c r="J4" s="1">
        <f>'Table S5'!J4-'Table S5'!J$4</f>
        <v>0</v>
      </c>
      <c r="K4" s="1">
        <f>'Table S5'!K4-'Table S5'!K$4</f>
        <v>0</v>
      </c>
      <c r="L4" s="1">
        <f>'Table S5'!L4-'Table S5'!L$4</f>
        <v>0</v>
      </c>
      <c r="M4" s="1">
        <f>'Table S5'!M4-'Table S5'!M$4</f>
        <v>0</v>
      </c>
    </row>
    <row r="5" spans="1:19" x14ac:dyDescent="0.3">
      <c r="A5" s="6" t="s">
        <v>12</v>
      </c>
      <c r="B5" s="1">
        <f>'Table S5'!B5-'Table S5'!B$4</f>
        <v>0</v>
      </c>
      <c r="C5" s="1">
        <f>'Table S5'!C5-'Table S5'!C$4</f>
        <v>0</v>
      </c>
      <c r="D5" s="1">
        <f>'Table S5'!D5-'Table S5'!D$4</f>
        <v>0</v>
      </c>
      <c r="E5" s="1">
        <f>'Table S5'!E5-'Table S5'!E$4</f>
        <v>0</v>
      </c>
      <c r="F5" s="1"/>
      <c r="G5" s="1"/>
      <c r="H5" s="1"/>
      <c r="I5" s="1"/>
      <c r="J5" s="1"/>
      <c r="K5" s="1"/>
      <c r="L5" s="1"/>
      <c r="M5" s="1"/>
      <c r="N5" s="2"/>
      <c r="O5" s="2"/>
      <c r="P5" s="2"/>
    </row>
    <row r="6" spans="1:19" x14ac:dyDescent="0.3">
      <c r="A6" s="6" t="s">
        <v>13</v>
      </c>
      <c r="B6" s="1">
        <f>'Table S5'!B6-'Table S5'!B$4</f>
        <v>-153.21367642325913</v>
      </c>
      <c r="C6" s="1">
        <f>'Table S5'!C6-'Table S5'!C$4</f>
        <v>-128.48598212482148</v>
      </c>
      <c r="D6" s="1">
        <f>'Table S5'!D6-'Table S5'!D$4</f>
        <v>-112.29964368223932</v>
      </c>
      <c r="E6" s="1">
        <f>'Table S5'!E6-'Table S5'!E$4</f>
        <v>-151.38157228404316</v>
      </c>
      <c r="F6" s="1"/>
      <c r="G6" s="1">
        <f>'Table S5'!G6-'Table S5'!G$4</f>
        <v>-105.25813842251455</v>
      </c>
      <c r="H6" s="1">
        <f>'Table S5'!H6-'Table S5'!H$4</f>
        <v>-108.64606598585988</v>
      </c>
      <c r="I6" s="1">
        <f>'Table S5'!I6-'Table S5'!I$4</f>
        <v>-109.85943599155144</v>
      </c>
      <c r="J6" s="1">
        <f>'Table S5'!J6-'Table S5'!J$4</f>
        <v>-111.68629207004187</v>
      </c>
      <c r="K6" s="1">
        <f>'Table S5'!K6-'Table S5'!K$4</f>
        <v>-141.52043269587807</v>
      </c>
      <c r="L6" s="1">
        <f>'Table S5'!L6-'Table S5'!L$4</f>
        <v>-109.92110302616061</v>
      </c>
      <c r="M6" s="1">
        <f>'Table S5'!M6-'Table S5'!M$4</f>
        <v>-87.786694634601645</v>
      </c>
    </row>
    <row r="7" spans="1:19" x14ac:dyDescent="0.3">
      <c r="A7" s="6" t="s">
        <v>14</v>
      </c>
      <c r="B7" s="1">
        <f>'Table S5'!B7-'Table S5'!B$4</f>
        <v>5.8868089768091068</v>
      </c>
      <c r="C7" s="1">
        <f>'Table S5'!C7-'Table S5'!C$4</f>
        <v>3.6443281983190445</v>
      </c>
      <c r="D7" s="1">
        <f>'Table S5'!D7-'Table S5'!D$4</f>
        <v>6.3489710240423847</v>
      </c>
      <c r="E7" s="1">
        <f>'Table S5'!E7-'Table S5'!E$4</f>
        <v>6.6323149307593212</v>
      </c>
      <c r="F7" s="1"/>
      <c r="G7" s="1">
        <f>'Table S5'!G7-'Table S5'!G$4</f>
        <v>5.0025664265153864</v>
      </c>
      <c r="H7" s="1">
        <f>'Table S5'!H7-'Table S5'!H$4</f>
        <v>7.602986641402822</v>
      </c>
      <c r="I7" s="1">
        <f>'Table S5'!I7-'Table S5'!I$4</f>
        <v>7.1862847255090401</v>
      </c>
      <c r="J7" s="1">
        <f>'Table S5'!J7-'Table S5'!J$4</f>
        <v>5.6140655213416721</v>
      </c>
      <c r="K7" s="1"/>
      <c r="L7" s="1">
        <f>'Table S5'!L7-'Table S5'!L$4</f>
        <v>6.0344037795864551</v>
      </c>
      <c r="M7" s="1">
        <f>'Table S5'!M7-'Table S5'!M$4</f>
        <v>8.1463637264121189</v>
      </c>
      <c r="N7" s="6"/>
      <c r="O7" s="16">
        <f>AVERAGE(B7:E7)</f>
        <v>5.6281057824824643</v>
      </c>
      <c r="P7" s="16">
        <f>AVERAGE(B7:M7)</f>
        <v>6.2099093950697348</v>
      </c>
      <c r="R7" s="6" t="s">
        <v>57</v>
      </c>
      <c r="S7" s="1">
        <f>P10</f>
        <v>7.7502129481773405</v>
      </c>
    </row>
    <row r="8" spans="1:19" x14ac:dyDescent="0.3">
      <c r="A8" s="6" t="s">
        <v>15</v>
      </c>
      <c r="B8" s="1">
        <f>'Table S5'!B8-'Table S5'!B$4</f>
        <v>8.7870018454270848</v>
      </c>
      <c r="C8" s="1">
        <f>'Table S5'!C8-'Table S5'!C$4</f>
        <v>6.3223836538584237</v>
      </c>
      <c r="D8" s="1">
        <f>'Table S5'!D8-'Table S5'!D$4</f>
        <v>10.937411180905883</v>
      </c>
      <c r="E8" s="1">
        <f>'Table S5'!E8-'Table S5'!E$4</f>
        <v>9.3049799563309534</v>
      </c>
      <c r="F8" s="1"/>
      <c r="G8" s="1">
        <f>'Table S5'!G8-'Table S5'!G$4</f>
        <v>9.3225957545762412</v>
      </c>
      <c r="H8" s="1">
        <f>'Table S5'!H8-'Table S5'!H$4</f>
        <v>11.954936562654439</v>
      </c>
      <c r="I8" s="1">
        <f>'Table S5'!I8-'Table S5'!I$4</f>
        <v>14.185332829364143</v>
      </c>
      <c r="J8" s="1">
        <f>'Table S5'!J8-'Table S5'!J$4</f>
        <v>9.1484192447214809</v>
      </c>
      <c r="K8" s="1"/>
      <c r="L8" s="1">
        <f>'Table S5'!L8-'Table S5'!L$4</f>
        <v>8.8756923491021098</v>
      </c>
      <c r="M8" s="1">
        <f>'Table S5'!M8-'Table S5'!M$4</f>
        <v>14.774493351600995</v>
      </c>
      <c r="N8" s="6"/>
      <c r="O8" s="16">
        <f t="shared" ref="O8:O24" si="0">AVERAGE(B8:E8)</f>
        <v>8.8379441591305863</v>
      </c>
      <c r="P8" s="16">
        <f t="shared" ref="P8:P24" si="1">AVERAGE(B8:M8)</f>
        <v>10.361324672854176</v>
      </c>
      <c r="R8" s="6" t="s">
        <v>54</v>
      </c>
      <c r="S8" s="1">
        <f>P7</f>
        <v>6.2099093950697348</v>
      </c>
    </row>
    <row r="9" spans="1:19" x14ac:dyDescent="0.3">
      <c r="A9" s="6" t="s">
        <v>16</v>
      </c>
      <c r="B9" s="1">
        <f>'Table S5'!B9-'Table S5'!B$4</f>
        <v>5.441347272214216</v>
      </c>
      <c r="C9" s="1">
        <f>'Table S5'!C9-'Table S5'!C$4</f>
        <v>4.7061993379500109</v>
      </c>
      <c r="D9" s="1">
        <f>'Table S5'!D9-'Table S5'!D$4</f>
        <v>5.7122486170824232</v>
      </c>
      <c r="E9" s="1">
        <f>'Table S5'!E9-'Table S5'!E$4</f>
        <v>5.8975762487314114</v>
      </c>
      <c r="F9" s="1"/>
      <c r="G9" s="1">
        <f>'Table S5'!G9-'Table S5'!G$4</f>
        <v>4.1325349456194544</v>
      </c>
      <c r="H9" s="1">
        <f>'Table S5'!H9-'Table S5'!H$4</f>
        <v>5.4122489602486894</v>
      </c>
      <c r="I9" s="1">
        <f>'Table S5'!I9-'Table S5'!I$4</f>
        <v>7.265544047038702</v>
      </c>
      <c r="J9" s="1">
        <f>'Table S5'!J9-'Table S5'!J$4</f>
        <v>4.7136829026860596</v>
      </c>
      <c r="K9" s="1"/>
      <c r="L9" s="1">
        <f>'Table S5'!L9-'Table S5'!L$4</f>
        <v>5.2024960510109395</v>
      </c>
      <c r="M9" s="1">
        <f>'Table S5'!M9-'Table S5'!M$4</f>
        <v>10.862407021360013</v>
      </c>
      <c r="N9" s="6"/>
      <c r="O9" s="16">
        <f t="shared" si="0"/>
        <v>5.4393428689945154</v>
      </c>
      <c r="P9" s="16">
        <f t="shared" si="1"/>
        <v>5.9346285403941916</v>
      </c>
      <c r="R9" s="6" t="s">
        <v>55</v>
      </c>
      <c r="S9" s="1">
        <f>P8</f>
        <v>10.361324672854176</v>
      </c>
    </row>
    <row r="10" spans="1:19" x14ac:dyDescent="0.3">
      <c r="A10" s="6" t="s">
        <v>17</v>
      </c>
      <c r="B10" s="1">
        <f>'Table S5'!B10-'Table S5'!B$4</f>
        <v>6.7411480936159478</v>
      </c>
      <c r="C10" s="1">
        <f>'Table S5'!C10-'Table S5'!C$4</f>
        <v>6.8332948411521102</v>
      </c>
      <c r="D10" s="1">
        <f>'Table S5'!D10-'Table S5'!D$4</f>
        <v>7.1852868785531427</v>
      </c>
      <c r="E10" s="1">
        <f>'Table S5'!E10-'Table S5'!E$4</f>
        <v>7.6385946660252557</v>
      </c>
      <c r="F10" s="1"/>
      <c r="G10" s="1">
        <f>'Table S5'!G10-'Table S5'!G$4</f>
        <v>6.4958305024354104</v>
      </c>
      <c r="H10" s="1">
        <f>'Table S5'!H10-'Table S5'!H$4</f>
        <v>7.8223262728629379</v>
      </c>
      <c r="I10" s="1">
        <f>'Table S5'!I10-'Table S5'!I$4</f>
        <v>9.725715543268052</v>
      </c>
      <c r="J10" s="1">
        <f>'Table S5'!J10-'Table S5'!J$4</f>
        <v>7.2292894347992842</v>
      </c>
      <c r="K10" s="1"/>
      <c r="L10" s="1">
        <f>'Table S5'!L10-'Table S5'!L$4</f>
        <v>5.958747036454497</v>
      </c>
      <c r="M10" s="1">
        <f>'Table S5'!M10-'Table S5'!M$4</f>
        <v>11.871896212606771</v>
      </c>
      <c r="N10" s="6"/>
      <c r="O10" s="16">
        <f t="shared" si="0"/>
        <v>7.0995811198366141</v>
      </c>
      <c r="P10" s="16">
        <f t="shared" si="1"/>
        <v>7.7502129481773405</v>
      </c>
      <c r="R10" s="6" t="s">
        <v>56</v>
      </c>
      <c r="S10" s="1">
        <f>P9</f>
        <v>5.9346285403941916</v>
      </c>
    </row>
    <row r="11" spans="1:19" x14ac:dyDescent="0.3">
      <c r="A11" s="6" t="s">
        <v>18</v>
      </c>
      <c r="B11" s="1">
        <f>'Table S5'!B11-'Table S5'!B$4</f>
        <v>49.770074208535107</v>
      </c>
      <c r="C11" s="1">
        <f>'Table S5'!C11-'Table S5'!C$4</f>
        <v>60.905970671248951</v>
      </c>
      <c r="D11" s="1">
        <f>'Table S5'!D11-'Table S5'!D$4</f>
        <v>61.088632464433658</v>
      </c>
      <c r="E11" s="1">
        <f>'Table S5'!E11-'Table S5'!E$4</f>
        <v>54.065338873771907</v>
      </c>
      <c r="F11" s="1"/>
      <c r="G11" s="1"/>
      <c r="H11" s="1"/>
      <c r="I11" s="1"/>
      <c r="J11" s="1"/>
      <c r="K11" s="1"/>
      <c r="L11" s="1"/>
      <c r="M11" s="1"/>
      <c r="N11" s="6"/>
      <c r="O11" s="16">
        <f t="shared" si="0"/>
        <v>56.457504054497406</v>
      </c>
      <c r="P11" s="16">
        <f t="shared" si="1"/>
        <v>56.457504054497406</v>
      </c>
      <c r="R11" s="6"/>
      <c r="S11" s="1"/>
    </row>
    <row r="12" spans="1:19" x14ac:dyDescent="0.3">
      <c r="A12" s="22" t="s">
        <v>74</v>
      </c>
      <c r="B12" s="1">
        <f>B11-SUM(B7:B10)</f>
        <v>22.913768020468751</v>
      </c>
      <c r="C12" s="1">
        <f t="shared" ref="C12:E12" si="2">C11-SUM(C7:C10)</f>
        <v>39.399764639969362</v>
      </c>
      <c r="D12" s="1">
        <f t="shared" si="2"/>
        <v>30.904714763849825</v>
      </c>
      <c r="E12" s="1">
        <f t="shared" si="2"/>
        <v>24.591873071924965</v>
      </c>
      <c r="F12" s="1"/>
      <c r="G12" s="1"/>
      <c r="H12" s="1"/>
      <c r="I12" s="1"/>
      <c r="J12" s="1"/>
      <c r="K12" s="1"/>
      <c r="L12" s="1"/>
      <c r="M12" s="1"/>
      <c r="N12" s="6"/>
      <c r="O12" s="16">
        <f t="shared" ref="O12" si="3">AVERAGE(B12:E12)</f>
        <v>29.452530124053226</v>
      </c>
      <c r="P12" s="16">
        <f t="shared" ref="P12" si="4">AVERAGE(B12:M12)</f>
        <v>29.452530124053226</v>
      </c>
      <c r="R12" s="6"/>
      <c r="S12" s="1"/>
    </row>
    <row r="13" spans="1:19" x14ac:dyDescent="0.3">
      <c r="A13" s="6" t="s">
        <v>19</v>
      </c>
      <c r="B13" s="1">
        <f>'Table S5'!B12-'Table S5'!B$4</f>
        <v>-2.3232322638327787</v>
      </c>
      <c r="C13" s="1">
        <f>'Table S5'!C12-'Table S5'!C$4</f>
        <v>0.33845223610524044</v>
      </c>
      <c r="D13" s="1">
        <f>'Table S5'!D12-'Table S5'!D$4</f>
        <v>-0.71172875967977234</v>
      </c>
      <c r="E13" s="1">
        <f>'Table S5'!E12-'Table S5'!E$4</f>
        <v>-3.2235735374097203</v>
      </c>
      <c r="F13" s="1"/>
      <c r="G13" s="1">
        <f>'Table S5'!G12-'Table S5'!G$4</f>
        <v>-1.6481830131945117</v>
      </c>
      <c r="H13" s="1">
        <f>'Table S5'!H12-'Table S5'!H$4</f>
        <v>-6.9400894064474414</v>
      </c>
      <c r="I13" s="1">
        <f>'Table S5'!I12-'Table S5'!I$4</f>
        <v>-0.62928145847536143</v>
      </c>
      <c r="J13" s="1">
        <f>'Table S5'!J12-'Table S5'!J$4</f>
        <v>-0.74615112301262343</v>
      </c>
      <c r="K13" s="1">
        <f>'Table S5'!K12-'Table S5'!K$4</f>
        <v>-0.67438851739439087</v>
      </c>
      <c r="L13" s="1">
        <f>'Table S5'!L12-'Table S5'!L$4</f>
        <v>-0.75172621032788811</v>
      </c>
      <c r="M13" s="1">
        <f>'Table S5'!M12-'Table S5'!M$4</f>
        <v>-3.2049228091159421</v>
      </c>
      <c r="N13" s="6"/>
      <c r="O13" s="16">
        <f t="shared" si="0"/>
        <v>-1.4800205812042577</v>
      </c>
      <c r="P13" s="16">
        <f t="shared" si="1"/>
        <v>-1.8649840784350173</v>
      </c>
      <c r="R13" s="6" t="s">
        <v>58</v>
      </c>
      <c r="S13" s="1">
        <f>P16</f>
        <v>-1.0266600157578358</v>
      </c>
    </row>
    <row r="14" spans="1:19" x14ac:dyDescent="0.3">
      <c r="A14" s="6" t="s">
        <v>20</v>
      </c>
      <c r="B14" s="1">
        <f>'Table S5'!B13-'Table S5'!B$4</f>
        <v>-1.4756762887996047</v>
      </c>
      <c r="C14" s="1">
        <f>'Table S5'!C13-'Table S5'!C$4</f>
        <v>0.33845223610524044</v>
      </c>
      <c r="D14" s="1">
        <f>'Table S5'!D13-'Table S5'!D$4</f>
        <v>-0.23729960474497602</v>
      </c>
      <c r="E14" s="1">
        <f>'Table S5'!E13-'Table S5'!E$4</f>
        <v>-1.1524370941360758</v>
      </c>
      <c r="F14" s="1"/>
      <c r="G14" s="1">
        <f>'Table S5'!G13-'Table S5'!G$4</f>
        <v>-1.3599497322074967</v>
      </c>
      <c r="H14" s="1">
        <f>'Table S5'!H13-'Table S5'!H$4</f>
        <v>-4.3866035050295977</v>
      </c>
      <c r="I14" s="1">
        <f>'Table S5'!I13-'Table S5'!I$4</f>
        <v>-1.5724553467591704</v>
      </c>
      <c r="J14" s="1">
        <f>'Table S5'!J13-'Table S5'!J$4</f>
        <v>-0.8207353893835716</v>
      </c>
      <c r="K14" s="1">
        <f>'Table S5'!K13-'Table S5'!K$4</f>
        <v>-0.29678588316687637</v>
      </c>
      <c r="L14" s="1">
        <f>'Table S5'!L13-'Table S5'!L$4</f>
        <v>-0.45110415869453391</v>
      </c>
      <c r="M14" s="1">
        <f>'Table S5'!M13-'Table S5'!M$4</f>
        <v>-2.2532140830467142</v>
      </c>
      <c r="N14" s="6"/>
      <c r="O14" s="16">
        <f t="shared" si="0"/>
        <v>-0.631740187893854</v>
      </c>
      <c r="P14" s="16">
        <f t="shared" si="1"/>
        <v>-1.2425280772603069</v>
      </c>
      <c r="R14" s="6" t="s">
        <v>59</v>
      </c>
      <c r="S14" s="1">
        <f>P13</f>
        <v>-1.8649840784350173</v>
      </c>
    </row>
    <row r="15" spans="1:19" x14ac:dyDescent="0.3">
      <c r="A15" s="6" t="s">
        <v>21</v>
      </c>
      <c r="B15" s="1">
        <f>'Table S5'!B14-'Table S5'!B$4</f>
        <v>-1.5125410820473917</v>
      </c>
      <c r="C15" s="1">
        <f>'Table S5'!C14-'Table S5'!C$4</f>
        <v>-0.16918349955062695</v>
      </c>
      <c r="D15" s="1">
        <f>'Table S5'!D14-'Table S5'!D$4</f>
        <v>-0.59314272168967364</v>
      </c>
      <c r="E15" s="1">
        <f>'Table S5'!E14-'Table S5'!E$4</f>
        <v>-2.0350982333882257</v>
      </c>
      <c r="F15" s="1"/>
      <c r="G15" s="1">
        <f>'Table S5'!G14-'Table S5'!G$4</f>
        <v>-0.82443574573312617</v>
      </c>
      <c r="H15" s="1">
        <f>'Table S5'!H14-'Table S5'!H$4</f>
        <v>-1.7395970950024093</v>
      </c>
      <c r="I15" s="1">
        <f>'Table S5'!I14-'Table S5'!I$4</f>
        <v>-0.82585003947315272</v>
      </c>
      <c r="J15" s="1">
        <f>'Table S5'!J14-'Table S5'!J$4</f>
        <v>-0.70885688741464037</v>
      </c>
      <c r="K15" s="1">
        <f>'Table S5'!K14-'Table S5'!K$4</f>
        <v>-0.26980891624475589</v>
      </c>
      <c r="L15" s="1">
        <f>'Table S5'!L14-'Table S5'!L$4</f>
        <v>-0.75172621032788811</v>
      </c>
      <c r="M15" s="1">
        <f>'Table S5'!M14-'Table S5'!M$4</f>
        <v>-1.5171622068478428</v>
      </c>
      <c r="N15" s="6"/>
      <c r="O15" s="16">
        <f t="shared" si="0"/>
        <v>-1.0774913841689795</v>
      </c>
      <c r="P15" s="16">
        <f t="shared" si="1"/>
        <v>-0.99521842161088481</v>
      </c>
      <c r="R15" s="6" t="s">
        <v>60</v>
      </c>
      <c r="S15" s="1">
        <f>P14</f>
        <v>-1.2425280772603069</v>
      </c>
    </row>
    <row r="16" spans="1:19" x14ac:dyDescent="0.3">
      <c r="A16" s="6" t="s">
        <v>22</v>
      </c>
      <c r="B16" s="1">
        <f>'Table S5'!B15-'Table S5'!B$4</f>
        <v>-1.6968452242272178</v>
      </c>
      <c r="C16" s="1">
        <f>'Table S5'!C15-'Table S5'!C$4</f>
        <v>0.59236602238343039</v>
      </c>
      <c r="D16" s="1">
        <f>'Table S5'!D15-'Table S5'!D$4</f>
        <v>-0.19775360804464981</v>
      </c>
      <c r="E16" s="1">
        <f>'Table S5'!E15-'Table S5'!E$4</f>
        <v>-2.3802811176806244</v>
      </c>
      <c r="F16" s="1"/>
      <c r="G16" s="1">
        <f>'Table S5'!G15-'Table S5'!G$4</f>
        <v>-1.030437075101645</v>
      </c>
      <c r="H16" s="1">
        <f>'Table S5'!H15-'Table S5'!H$4</f>
        <v>-2.3477339483415562</v>
      </c>
      <c r="I16" s="1">
        <f>'Table S5'!I15-'Table S5'!I$4</f>
        <v>-1.0616808989054789</v>
      </c>
      <c r="J16" s="1">
        <f>'Table S5'!J15-'Table S5'!J$4</f>
        <v>-0.2239042415435506</v>
      </c>
      <c r="K16" s="1">
        <f>'Table S5'!K15-'Table S5'!K$4</f>
        <v>-8.0950168237450271E-2</v>
      </c>
      <c r="L16" s="1">
        <f>'Table S5'!L15-'Table S5'!L$4</f>
        <v>-0.52626822348975111</v>
      </c>
      <c r="M16" s="1">
        <f>'Table S5'!M15-'Table S5'!M$4</f>
        <v>-2.3397716901476997</v>
      </c>
      <c r="N16" s="6"/>
      <c r="O16" s="16">
        <f t="shared" si="0"/>
        <v>-0.92062848189226543</v>
      </c>
      <c r="P16" s="16">
        <f t="shared" si="1"/>
        <v>-1.0266600157578358</v>
      </c>
      <c r="R16" s="6" t="s">
        <v>61</v>
      </c>
      <c r="S16" s="1">
        <f>P15</f>
        <v>-0.99521842161088481</v>
      </c>
    </row>
    <row r="17" spans="1:19" x14ac:dyDescent="0.3">
      <c r="A17" s="6" t="s">
        <v>23</v>
      </c>
      <c r="B17" s="1">
        <f>'Table S5'!B16-'Table S5'!B$4</f>
        <v>-10.713396181987491</v>
      </c>
      <c r="C17" s="1">
        <f>'Table S5'!C16-'Table S5'!C$4</f>
        <v>5.2983800312858875E-2</v>
      </c>
      <c r="D17" s="1">
        <f>'Table S5'!D16-'Table S5'!D$4</f>
        <v>-2.9250649383143354</v>
      </c>
      <c r="E17" s="1">
        <f>'Table S5'!E16-'Table S5'!E$4</f>
        <v>-17.445260962298562</v>
      </c>
      <c r="F17" s="1"/>
      <c r="G17" s="1"/>
      <c r="H17" s="1"/>
      <c r="I17" s="1"/>
      <c r="J17" s="1"/>
      <c r="K17" s="1"/>
      <c r="L17" s="1"/>
      <c r="M17" s="1"/>
      <c r="N17" s="6"/>
      <c r="O17" s="16">
        <f t="shared" si="0"/>
        <v>-7.7576845705718824</v>
      </c>
      <c r="P17" s="16">
        <f t="shared" si="1"/>
        <v>-7.7576845705718824</v>
      </c>
      <c r="R17" s="6"/>
      <c r="S17" s="1"/>
    </row>
    <row r="18" spans="1:19" x14ac:dyDescent="0.3">
      <c r="A18" s="22" t="s">
        <v>74</v>
      </c>
      <c r="B18" s="1">
        <f>B17-SUM(B13:B16)</f>
        <v>-3.7051013230804983</v>
      </c>
      <c r="C18" s="1">
        <f t="shared" ref="C18" si="5">C17-SUM(C13:C16)</f>
        <v>-1.0471031947304255</v>
      </c>
      <c r="D18" s="1">
        <f t="shared" ref="D18" si="6">D17-SUM(D13:D16)</f>
        <v>-1.1851402441552636</v>
      </c>
      <c r="E18" s="1">
        <f t="shared" ref="E18" si="7">E17-SUM(E13:E16)</f>
        <v>-8.6538709796839157</v>
      </c>
      <c r="F18" s="1"/>
      <c r="G18" s="1"/>
      <c r="H18" s="1"/>
      <c r="I18" s="1"/>
      <c r="J18" s="1"/>
      <c r="K18" s="1"/>
      <c r="L18" s="1"/>
      <c r="M18" s="1"/>
      <c r="N18" s="6"/>
      <c r="O18" s="16">
        <f t="shared" ref="O18" si="8">AVERAGE(B18:E18)</f>
        <v>-3.6478039354125258</v>
      </c>
      <c r="P18" s="16">
        <f t="shared" ref="P18" si="9">AVERAGE(B18:M18)</f>
        <v>-3.6478039354125258</v>
      </c>
      <c r="R18" s="6"/>
      <c r="S18" s="1"/>
    </row>
    <row r="19" spans="1:19" x14ac:dyDescent="0.3">
      <c r="A19" s="6" t="s">
        <v>24</v>
      </c>
      <c r="B19" s="1">
        <f>'Table S5'!B17-'Table S5'!B$4</f>
        <v>-3.3908944533502563</v>
      </c>
      <c r="C19" s="1">
        <f>'Table S5'!C17-'Table S5'!C$4</f>
        <v>-5.0210891503477342</v>
      </c>
      <c r="D19" s="1">
        <f>'Table S5'!D17-'Table S5'!D$4</f>
        <v>-4.1445727512621033</v>
      </c>
      <c r="E19" s="1">
        <f>'Table S5'!E17-'Table S5'!E$4</f>
        <v>-2.9170018508325484</v>
      </c>
      <c r="F19" s="1"/>
      <c r="G19" s="1">
        <f>'Table S5'!G17-'Table S5'!G$4</f>
        <v>-1.6070119884052474</v>
      </c>
      <c r="H19" s="1">
        <f>'Table S5'!H17-'Table S5'!H$4</f>
        <v>-3.5628862797166221</v>
      </c>
      <c r="I19" s="1">
        <f>'Table S5'!I17-'Table S5'!I$4</f>
        <v>-4.2399149289065008</v>
      </c>
      <c r="J19" s="1">
        <f>'Table S5'!J17-'Table S5'!J$4</f>
        <v>-2.6090773938442453</v>
      </c>
      <c r="K19" s="1">
        <f>'Table S5'!K17-'Table S5'!K$4</f>
        <v>-2.2641791083467524</v>
      </c>
      <c r="L19" s="1">
        <f>'Table S5'!L17-'Table S5'!L$4</f>
        <v>-2.1033974543097429</v>
      </c>
      <c r="M19" s="1">
        <f>'Table S5'!M17-'Table S5'!M$4</f>
        <v>-3.5939889072003552</v>
      </c>
      <c r="N19" s="6"/>
      <c r="O19" s="16">
        <f t="shared" si="0"/>
        <v>-3.8683895514481605</v>
      </c>
      <c r="P19" s="16">
        <f t="shared" si="1"/>
        <v>-3.2230922060474643</v>
      </c>
      <c r="R19" s="6" t="s">
        <v>62</v>
      </c>
      <c r="S19" s="1">
        <f>P22</f>
        <v>-5.3557198146803664</v>
      </c>
    </row>
    <row r="20" spans="1:19" x14ac:dyDescent="0.3">
      <c r="A20" s="6" t="s">
        <v>25</v>
      </c>
      <c r="B20" s="1">
        <f>'Table S5'!B18-'Table S5'!B$4</f>
        <v>-4.6779759455660042</v>
      </c>
      <c r="C20" s="1">
        <f>'Table S5'!C18-'Table S5'!C$4</f>
        <v>-7.7111712038386031</v>
      </c>
      <c r="D20" s="1">
        <f>'Table S5'!D18-'Table S5'!D$4</f>
        <v>-3.8688061443003789</v>
      </c>
      <c r="E20" s="1">
        <f>'Table S5'!E18-'Table S5'!E$4</f>
        <v>-3.7598538468473635</v>
      </c>
      <c r="F20" s="1"/>
      <c r="G20" s="1">
        <f>'Table S5'!G18-'Table S5'!G$4</f>
        <v>-1.1128255613782585</v>
      </c>
      <c r="H20" s="1">
        <f>'Table S5'!H18-'Table S5'!H$4</f>
        <v>-5.3395235918032995</v>
      </c>
      <c r="I20" s="1">
        <f>'Table S5'!I18-'Table S5'!I$4</f>
        <v>-5.2187940308517682</v>
      </c>
      <c r="J20" s="1">
        <f>'Table S5'!J18-'Table S5'!J$4</f>
        <v>-2.7951776598279139</v>
      </c>
      <c r="K20" s="1">
        <f>'Table S5'!K18-'Table S5'!K$4</f>
        <v>-2.6410537610825031</v>
      </c>
      <c r="L20" s="1">
        <f>'Table S5'!L18-'Table S5'!L$4</f>
        <v>-3.003487438305001</v>
      </c>
      <c r="M20" s="1">
        <f>'Table S5'!M18-'Table S5'!M$4</f>
        <v>-5.1486919366464008</v>
      </c>
      <c r="N20" s="6"/>
      <c r="O20" s="16">
        <f t="shared" si="0"/>
        <v>-5.0044517851380874</v>
      </c>
      <c r="P20" s="16">
        <f t="shared" si="1"/>
        <v>-4.1161237382224991</v>
      </c>
      <c r="R20" s="6" t="s">
        <v>63</v>
      </c>
      <c r="S20" s="1">
        <f>P19</f>
        <v>-3.2230922060474643</v>
      </c>
    </row>
    <row r="21" spans="1:19" x14ac:dyDescent="0.3">
      <c r="A21" s="6" t="s">
        <v>26</v>
      </c>
      <c r="B21" s="1">
        <f>'Table S5'!B19-'Table S5'!B$4</f>
        <v>-2.838793912052779</v>
      </c>
      <c r="C21" s="1">
        <f>'Table S5'!C19-'Table S5'!C$4</f>
        <v>-4.1368338224169747</v>
      </c>
      <c r="D21" s="1">
        <f>'Table S5'!D19-'Table S5'!D$4</f>
        <v>-2.6860794665503818</v>
      </c>
      <c r="E21" s="1">
        <f>'Table S5'!E19-'Table S5'!E$4</f>
        <v>-2.8403446282081859</v>
      </c>
      <c r="F21" s="1"/>
      <c r="G21" s="1">
        <f>'Table S5'!G19-'Table S5'!G$4</f>
        <v>-3.129195768959562</v>
      </c>
      <c r="H21" s="1">
        <f>'Table S5'!H19-'Table S5'!H$4</f>
        <v>-4.3866035050295977</v>
      </c>
      <c r="I21" s="1">
        <f>'Table S5'!I19-'Table S5'!I$4</f>
        <v>-3.8872812134743526</v>
      </c>
      <c r="J21" s="1">
        <f>'Table S5'!J19-'Table S5'!J$4</f>
        <v>-3.4648494063117141</v>
      </c>
      <c r="K21" s="1">
        <f>'Table S5'!K19-'Table S5'!K$4</f>
        <v>-2.7487066287560538</v>
      </c>
      <c r="L21" s="1">
        <f>'Table S5'!L19-'Table S5'!L$4</f>
        <v>-1.953302844916152</v>
      </c>
      <c r="M21" s="1">
        <f>'Table S5'!M19-'Table S5'!M$4</f>
        <v>-2.9022077768706822</v>
      </c>
      <c r="N21" s="6"/>
      <c r="O21" s="16">
        <f t="shared" si="0"/>
        <v>-3.1255129573070803</v>
      </c>
      <c r="P21" s="16">
        <f t="shared" si="1"/>
        <v>-3.1794726339587669</v>
      </c>
      <c r="R21" s="6" t="s">
        <v>64</v>
      </c>
      <c r="S21" s="1">
        <f>P20</f>
        <v>-4.1161237382224991</v>
      </c>
    </row>
    <row r="22" spans="1:19" x14ac:dyDescent="0.3">
      <c r="A22" s="6" t="s">
        <v>27</v>
      </c>
      <c r="B22" s="1">
        <f>'Table S5'!B20-'Table S5'!B$4</f>
        <v>-4.4574479703189809</v>
      </c>
      <c r="C22" s="1">
        <f>'Table S5'!C20-'Table S5'!C$4</f>
        <v>-10.728916042628498</v>
      </c>
      <c r="D22" s="1">
        <f>'Table S5'!D20-'Table S5'!D$4</f>
        <v>-4.2627349499889533</v>
      </c>
      <c r="E22" s="1">
        <f>'Table S5'!E20-'Table S5'!E$4</f>
        <v>-4.4106749522704831</v>
      </c>
      <c r="F22" s="1"/>
      <c r="G22" s="1">
        <f>'Table S5'!G20-'Table S5'!G$4</f>
        <v>-3.6634593198668881</v>
      </c>
      <c r="H22" s="1">
        <f>'Table S5'!H20-'Table S5'!H$4</f>
        <v>-7.6314221623072171</v>
      </c>
      <c r="I22" s="1">
        <f>'Table S5'!I20-'Table S5'!I$4</f>
        <v>-8.1496286554277049</v>
      </c>
      <c r="J22" s="1">
        <f>'Table S5'!J20-'Table S5'!J$4</f>
        <v>-4.6542603356754171</v>
      </c>
      <c r="K22" s="1">
        <f>'Table S5'!K20-'Table S5'!K$4</f>
        <v>-3.3405940888906116</v>
      </c>
      <c r="L22" s="1">
        <f>'Table S5'!L20-'Table S5'!L$4</f>
        <v>-2.8535292819631195</v>
      </c>
      <c r="M22" s="1">
        <f>'Table S5'!M20-'Table S5'!M$4</f>
        <v>-4.7602502021461532</v>
      </c>
      <c r="N22" s="6"/>
      <c r="O22" s="16">
        <f t="shared" si="0"/>
        <v>-5.9649434788017288</v>
      </c>
      <c r="P22" s="16">
        <f t="shared" si="1"/>
        <v>-5.3557198146803664</v>
      </c>
      <c r="R22" s="6" t="s">
        <v>65</v>
      </c>
      <c r="S22" s="1">
        <f>P21</f>
        <v>-3.1794726339587669</v>
      </c>
    </row>
    <row r="23" spans="1:19" x14ac:dyDescent="0.3">
      <c r="A23" s="6" t="s">
        <v>28</v>
      </c>
      <c r="B23" s="1">
        <f>'Table S5'!B21-'Table S5'!B$4</f>
        <v>-22.818255030199225</v>
      </c>
      <c r="C23" s="1">
        <f>'Table S5'!C21-'Table S5'!C$4</f>
        <v>-65.948792918925392</v>
      </c>
      <c r="D23" s="1">
        <f>'Table S5'!D21-'Table S5'!D$4</f>
        <v>-21.459168334408105</v>
      </c>
      <c r="E23" s="1">
        <f>'Table S5'!E21-'Table S5'!E$4</f>
        <v>-21.618194168957189</v>
      </c>
      <c r="F23" s="1"/>
      <c r="G23" s="1"/>
      <c r="H23" s="1"/>
      <c r="I23" s="1"/>
      <c r="J23" s="1"/>
      <c r="K23" s="1"/>
      <c r="L23" s="1"/>
      <c r="M23" s="1"/>
      <c r="N23" s="6"/>
      <c r="O23" s="16">
        <f t="shared" si="0"/>
        <v>-32.961102613122478</v>
      </c>
      <c r="P23" s="16">
        <f t="shared" si="1"/>
        <v>-32.961102613122478</v>
      </c>
      <c r="R23" s="6"/>
      <c r="S23" s="1"/>
    </row>
    <row r="24" spans="1:19" x14ac:dyDescent="0.3">
      <c r="A24" s="22" t="s">
        <v>74</v>
      </c>
      <c r="B24" s="1">
        <f>B23-SUM(B19:B22)</f>
        <v>-7.4531427489112048</v>
      </c>
      <c r="C24" s="1">
        <f t="shared" ref="C24" si="10">C23-SUM(C19:C22)</f>
        <v>-38.350782699693582</v>
      </c>
      <c r="D24" s="1">
        <f t="shared" ref="D24" si="11">D23-SUM(D19:D22)</f>
        <v>-6.4969750223062874</v>
      </c>
      <c r="E24" s="1">
        <f t="shared" ref="E24" si="12">E23-SUM(E19:E22)</f>
        <v>-7.6903188907986078</v>
      </c>
      <c r="F24" s="1"/>
      <c r="G24" s="1"/>
      <c r="H24" s="1"/>
      <c r="I24" s="1"/>
      <c r="J24" s="1"/>
      <c r="K24" s="1"/>
      <c r="L24" s="1"/>
      <c r="M24" s="1"/>
      <c r="N24" s="6"/>
      <c r="O24" s="16">
        <f t="shared" si="0"/>
        <v>-14.99780484042742</v>
      </c>
      <c r="P24" s="16">
        <f t="shared" si="1"/>
        <v>-14.99780484042742</v>
      </c>
      <c r="R24" s="6"/>
      <c r="S24" s="1"/>
    </row>
    <row r="26" spans="1:19" x14ac:dyDescent="0.3">
      <c r="A26" s="3" t="s">
        <v>29</v>
      </c>
      <c r="B26" t="s">
        <v>66</v>
      </c>
    </row>
    <row r="45" spans="2:18" x14ac:dyDescent="0.3">
      <c r="B45" s="3" t="s">
        <v>75</v>
      </c>
      <c r="K45" s="32" t="s">
        <v>131</v>
      </c>
      <c r="L45" s="32"/>
      <c r="M45" s="32"/>
      <c r="N45" s="32"/>
      <c r="O45" s="32"/>
      <c r="P45" s="32"/>
      <c r="Q45" s="32"/>
      <c r="R45" s="32"/>
    </row>
    <row r="46" spans="2:18" x14ac:dyDescent="0.3">
      <c r="K46" s="32"/>
      <c r="L46" s="32"/>
      <c r="M46" s="32"/>
      <c r="N46" s="32"/>
      <c r="O46" s="32"/>
      <c r="P46" s="32"/>
      <c r="Q46" s="32"/>
      <c r="R46" s="32"/>
    </row>
  </sheetData>
  <mergeCells count="1">
    <mergeCell ref="K45:R46"/>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workbookViewId="0">
      <selection activeCell="A25" sqref="A25:XFD25"/>
    </sheetView>
  </sheetViews>
  <sheetFormatPr defaultRowHeight="14.4" x14ac:dyDescent="0.3"/>
  <cols>
    <col min="1" max="1" width="18.33203125" style="3" customWidth="1"/>
    <col min="2" max="2" width="8.88671875" style="3"/>
    <col min="3" max="3" width="9" bestFit="1" customWidth="1"/>
    <col min="4" max="4" width="9.5546875" bestFit="1" customWidth="1"/>
    <col min="5" max="6" width="9" bestFit="1" customWidth="1"/>
    <col min="8" max="14" width="9" bestFit="1" customWidth="1"/>
  </cols>
  <sheetData>
    <row r="1" spans="1:14" s="3" customFormat="1" x14ac:dyDescent="0.3">
      <c r="A1" s="3" t="s">
        <v>80</v>
      </c>
    </row>
    <row r="3" spans="1:14" s="61" customFormat="1" ht="42" customHeight="1" x14ac:dyDescent="0.3">
      <c r="C3" s="61" t="s">
        <v>0</v>
      </c>
      <c r="D3" s="61" t="s">
        <v>1</v>
      </c>
      <c r="E3" s="61" t="s">
        <v>2</v>
      </c>
      <c r="F3" s="61" t="s">
        <v>3</v>
      </c>
      <c r="H3" s="61" t="s">
        <v>4</v>
      </c>
      <c r="I3" s="61" t="s">
        <v>5</v>
      </c>
      <c r="J3" s="61" t="s">
        <v>6</v>
      </c>
      <c r="K3" s="61" t="s">
        <v>7</v>
      </c>
      <c r="L3" s="61" t="s">
        <v>8</v>
      </c>
      <c r="M3" s="61" t="s">
        <v>9</v>
      </c>
      <c r="N3" s="61" t="s">
        <v>10</v>
      </c>
    </row>
    <row r="4" spans="1:14" x14ac:dyDescent="0.3">
      <c r="A4" s="3" t="s">
        <v>77</v>
      </c>
      <c r="B4" s="3" t="s">
        <v>73</v>
      </c>
      <c r="C4">
        <v>28.6</v>
      </c>
      <c r="D4">
        <v>42.9</v>
      </c>
      <c r="E4">
        <v>29.8</v>
      </c>
      <c r="F4">
        <v>28.3</v>
      </c>
      <c r="H4">
        <v>28.1</v>
      </c>
      <c r="I4">
        <v>30.2</v>
      </c>
      <c r="J4">
        <v>38.700000000000003</v>
      </c>
      <c r="K4">
        <v>28</v>
      </c>
      <c r="L4">
        <v>41.9</v>
      </c>
      <c r="M4">
        <v>27.8</v>
      </c>
      <c r="N4">
        <v>28.9</v>
      </c>
    </row>
    <row r="5" spans="1:14" x14ac:dyDescent="0.3">
      <c r="B5" s="3" t="s">
        <v>69</v>
      </c>
      <c r="C5">
        <v>7.4</v>
      </c>
      <c r="D5">
        <v>7.5</v>
      </c>
      <c r="E5">
        <v>8.3000000000000007</v>
      </c>
      <c r="F5">
        <v>7.5</v>
      </c>
      <c r="H5">
        <v>6.2</v>
      </c>
      <c r="I5">
        <v>7.9</v>
      </c>
      <c r="J5">
        <v>6.8</v>
      </c>
      <c r="K5">
        <v>6.3</v>
      </c>
      <c r="L5">
        <v>8.1999999999999993</v>
      </c>
      <c r="M5">
        <v>7.7</v>
      </c>
      <c r="N5">
        <v>7.6</v>
      </c>
    </row>
    <row r="6" spans="1:14" x14ac:dyDescent="0.3">
      <c r="B6" s="3" t="s">
        <v>70</v>
      </c>
      <c r="C6">
        <v>7.3</v>
      </c>
      <c r="D6">
        <v>7.5</v>
      </c>
      <c r="E6">
        <v>8.8000000000000007</v>
      </c>
      <c r="F6">
        <v>7.3</v>
      </c>
      <c r="H6">
        <v>7.1</v>
      </c>
      <c r="I6">
        <v>7.2</v>
      </c>
      <c r="J6">
        <v>7.5</v>
      </c>
      <c r="K6">
        <v>7.1</v>
      </c>
      <c r="L6">
        <v>7.2</v>
      </c>
      <c r="M6">
        <v>7.4</v>
      </c>
      <c r="N6">
        <v>7.1</v>
      </c>
    </row>
    <row r="7" spans="1:14" x14ac:dyDescent="0.3">
      <c r="B7" s="3" t="s">
        <v>72</v>
      </c>
      <c r="C7">
        <v>5.5</v>
      </c>
      <c r="D7">
        <v>9.3000000000000007</v>
      </c>
      <c r="E7">
        <v>4.7</v>
      </c>
      <c r="F7">
        <v>5.5</v>
      </c>
      <c r="H7">
        <v>5.4</v>
      </c>
      <c r="I7">
        <v>6</v>
      </c>
      <c r="J7">
        <v>5.4</v>
      </c>
      <c r="K7">
        <v>5.4</v>
      </c>
      <c r="L7">
        <v>6.1</v>
      </c>
      <c r="M7">
        <v>5.6</v>
      </c>
      <c r="N7">
        <v>5.6</v>
      </c>
    </row>
    <row r="8" spans="1:14" x14ac:dyDescent="0.3">
      <c r="B8" s="3" t="s">
        <v>71</v>
      </c>
      <c r="C8">
        <v>2.1</v>
      </c>
      <c r="D8">
        <v>2.2999999999999998</v>
      </c>
      <c r="E8">
        <v>2.1</v>
      </c>
      <c r="F8">
        <v>2.2000000000000002</v>
      </c>
      <c r="H8">
        <v>2.1</v>
      </c>
      <c r="I8">
        <v>2.6</v>
      </c>
      <c r="J8">
        <v>2.4</v>
      </c>
      <c r="K8">
        <v>2.2000000000000002</v>
      </c>
      <c r="L8">
        <v>2.7</v>
      </c>
      <c r="M8">
        <v>2.2000000000000002</v>
      </c>
      <c r="N8">
        <v>2.2000000000000002</v>
      </c>
    </row>
    <row r="9" spans="1:14" x14ac:dyDescent="0.3">
      <c r="A9" s="3" t="s">
        <v>78</v>
      </c>
      <c r="B9" s="3" t="s">
        <v>73</v>
      </c>
      <c r="C9">
        <v>116</v>
      </c>
      <c r="D9">
        <v>131.6</v>
      </c>
      <c r="E9">
        <v>49.6</v>
      </c>
      <c r="F9">
        <v>113.5</v>
      </c>
      <c r="H9">
        <v>77.099999999999994</v>
      </c>
      <c r="I9">
        <v>123.4</v>
      </c>
      <c r="J9">
        <v>65</v>
      </c>
      <c r="K9">
        <v>93.1</v>
      </c>
      <c r="L9">
        <v>24.8</v>
      </c>
      <c r="M9">
        <v>94.3</v>
      </c>
      <c r="N9">
        <v>86.9</v>
      </c>
    </row>
    <row r="10" spans="1:14" x14ac:dyDescent="0.3">
      <c r="B10" s="3" t="s">
        <v>69</v>
      </c>
      <c r="C10">
        <v>21.3</v>
      </c>
      <c r="D10">
        <v>22</v>
      </c>
      <c r="E10">
        <v>10.6</v>
      </c>
      <c r="F10">
        <v>24.5</v>
      </c>
      <c r="H10">
        <v>17.100000000000001</v>
      </c>
      <c r="I10">
        <v>39</v>
      </c>
      <c r="J10">
        <v>6.2</v>
      </c>
      <c r="K10">
        <v>20.5</v>
      </c>
      <c r="L10">
        <v>5</v>
      </c>
      <c r="M10">
        <v>21.6</v>
      </c>
      <c r="N10">
        <v>19.7</v>
      </c>
    </row>
    <row r="11" spans="1:14" x14ac:dyDescent="0.3">
      <c r="B11" s="3" t="s">
        <v>70</v>
      </c>
      <c r="C11">
        <v>15.6</v>
      </c>
      <c r="D11">
        <v>16.600000000000001</v>
      </c>
      <c r="E11">
        <v>6.6</v>
      </c>
      <c r="F11">
        <v>17.7</v>
      </c>
      <c r="H11">
        <v>21.1</v>
      </c>
      <c r="I11">
        <v>24.3</v>
      </c>
      <c r="J11">
        <v>12.4</v>
      </c>
      <c r="K11">
        <v>24.3</v>
      </c>
      <c r="L11">
        <v>2.5</v>
      </c>
      <c r="M11">
        <v>15.6</v>
      </c>
      <c r="N11">
        <v>14.2</v>
      </c>
    </row>
    <row r="12" spans="1:14" x14ac:dyDescent="0.3">
      <c r="B12" s="3" t="s">
        <v>72</v>
      </c>
      <c r="C12">
        <v>19.2</v>
      </c>
      <c r="D12">
        <v>19.899999999999999</v>
      </c>
      <c r="E12">
        <v>7.8</v>
      </c>
      <c r="F12">
        <v>24.1</v>
      </c>
      <c r="H12">
        <v>14.1</v>
      </c>
      <c r="I12">
        <v>17.3</v>
      </c>
      <c r="J12">
        <v>13.2</v>
      </c>
      <c r="K12">
        <v>17.399999999999999</v>
      </c>
      <c r="L12">
        <v>1.9</v>
      </c>
      <c r="M12">
        <v>19.2</v>
      </c>
      <c r="N12">
        <v>17.8</v>
      </c>
    </row>
    <row r="13" spans="1:14" x14ac:dyDescent="0.3">
      <c r="B13" s="3" t="s">
        <v>71</v>
      </c>
      <c r="C13">
        <v>11.4</v>
      </c>
      <c r="D13">
        <v>12.1</v>
      </c>
      <c r="E13">
        <v>8.1999999999999993</v>
      </c>
      <c r="F13">
        <v>14.1</v>
      </c>
      <c r="H13">
        <v>8</v>
      </c>
      <c r="I13">
        <v>10.4</v>
      </c>
      <c r="J13">
        <v>8.6999999999999993</v>
      </c>
      <c r="K13" t="s">
        <v>76</v>
      </c>
      <c r="L13">
        <v>2.5</v>
      </c>
      <c r="M13">
        <v>11.4</v>
      </c>
      <c r="N13">
        <v>10.3</v>
      </c>
    </row>
    <row r="14" spans="1:14" x14ac:dyDescent="0.3">
      <c r="A14" s="3" t="s">
        <v>79</v>
      </c>
      <c r="B14" s="3" t="s">
        <v>73</v>
      </c>
      <c r="C14">
        <v>471</v>
      </c>
      <c r="D14">
        <v>1018</v>
      </c>
      <c r="E14">
        <v>556</v>
      </c>
      <c r="F14">
        <v>471</v>
      </c>
      <c r="H14">
        <v>480</v>
      </c>
      <c r="I14">
        <v>681</v>
      </c>
      <c r="J14">
        <v>931</v>
      </c>
      <c r="K14">
        <v>476</v>
      </c>
      <c r="L14">
        <v>571</v>
      </c>
      <c r="M14">
        <v>471</v>
      </c>
      <c r="N14">
        <v>477</v>
      </c>
    </row>
    <row r="15" spans="1:14" x14ac:dyDescent="0.3">
      <c r="B15" s="3" t="s">
        <v>69</v>
      </c>
      <c r="C15">
        <v>67</v>
      </c>
      <c r="D15">
        <v>69</v>
      </c>
      <c r="E15">
        <v>111</v>
      </c>
      <c r="F15">
        <v>67</v>
      </c>
      <c r="H15">
        <v>61</v>
      </c>
      <c r="I15">
        <v>85</v>
      </c>
      <c r="J15">
        <v>91</v>
      </c>
      <c r="K15">
        <v>62</v>
      </c>
      <c r="L15">
        <v>96</v>
      </c>
      <c r="M15">
        <v>69</v>
      </c>
      <c r="N15">
        <v>69</v>
      </c>
    </row>
    <row r="16" spans="1:14" x14ac:dyDescent="0.3">
      <c r="B16" s="3" t="s">
        <v>70</v>
      </c>
      <c r="C16">
        <v>95</v>
      </c>
      <c r="D16">
        <v>111</v>
      </c>
      <c r="E16">
        <v>100</v>
      </c>
      <c r="F16">
        <v>96</v>
      </c>
      <c r="H16">
        <v>67</v>
      </c>
      <c r="I16">
        <v>127</v>
      </c>
      <c r="J16">
        <v>114</v>
      </c>
      <c r="K16">
        <v>67</v>
      </c>
      <c r="L16">
        <v>110</v>
      </c>
      <c r="M16">
        <v>97</v>
      </c>
      <c r="N16">
        <v>99</v>
      </c>
    </row>
    <row r="17" spans="1:14" x14ac:dyDescent="0.3">
      <c r="B17" s="3" t="s">
        <v>72</v>
      </c>
      <c r="C17">
        <v>95</v>
      </c>
      <c r="D17">
        <v>170</v>
      </c>
      <c r="E17">
        <v>112</v>
      </c>
      <c r="F17">
        <v>95</v>
      </c>
      <c r="H17">
        <v>118</v>
      </c>
      <c r="I17">
        <v>189</v>
      </c>
      <c r="J17">
        <v>182</v>
      </c>
      <c r="K17">
        <v>114</v>
      </c>
      <c r="L17">
        <v>138</v>
      </c>
      <c r="M17">
        <v>97</v>
      </c>
      <c r="N17">
        <v>97</v>
      </c>
    </row>
    <row r="18" spans="1:14" x14ac:dyDescent="0.3">
      <c r="B18" s="3" t="s">
        <v>71</v>
      </c>
      <c r="C18">
        <v>62</v>
      </c>
      <c r="D18">
        <v>67</v>
      </c>
      <c r="E18">
        <v>72</v>
      </c>
      <c r="F18">
        <v>61</v>
      </c>
      <c r="H18">
        <v>85</v>
      </c>
      <c r="I18">
        <v>106</v>
      </c>
      <c r="J18">
        <v>91</v>
      </c>
      <c r="K18">
        <v>86</v>
      </c>
      <c r="L18">
        <v>114</v>
      </c>
      <c r="M18">
        <v>63</v>
      </c>
      <c r="N18">
        <v>63</v>
      </c>
    </row>
    <row r="20" spans="1:14" x14ac:dyDescent="0.3">
      <c r="A20" s="3" t="s">
        <v>52</v>
      </c>
      <c r="B20" t="s">
        <v>67</v>
      </c>
    </row>
    <row r="21" spans="1:14" x14ac:dyDescent="0.3">
      <c r="B21"/>
    </row>
    <row r="22" spans="1:14" s="3" customFormat="1" x14ac:dyDescent="0.3">
      <c r="A22" s="3" t="s">
        <v>82</v>
      </c>
    </row>
    <row r="23" spans="1:14" x14ac:dyDescent="0.3">
      <c r="A23" s="3" t="s">
        <v>81</v>
      </c>
      <c r="B23" s="15">
        <f>46/14</f>
        <v>3.2857142857142856</v>
      </c>
      <c r="C23" t="s">
        <v>132</v>
      </c>
    </row>
    <row r="25" spans="1:14" s="61" customFormat="1" ht="42" customHeight="1" x14ac:dyDescent="0.3">
      <c r="B25" s="61" t="s">
        <v>0</v>
      </c>
      <c r="C25" s="61" t="s">
        <v>1</v>
      </c>
      <c r="D25" s="61" t="s">
        <v>2</v>
      </c>
      <c r="E25" s="61" t="s">
        <v>3</v>
      </c>
      <c r="G25" s="61" t="s">
        <v>4</v>
      </c>
      <c r="H25" s="61" t="s">
        <v>5</v>
      </c>
      <c r="I25" s="61" t="s">
        <v>6</v>
      </c>
      <c r="J25" s="61" t="s">
        <v>7</v>
      </c>
      <c r="K25" s="61" t="s">
        <v>8</v>
      </c>
      <c r="L25" s="61" t="s">
        <v>9</v>
      </c>
      <c r="M25" s="61" t="s">
        <v>10</v>
      </c>
    </row>
    <row r="26" spans="1:14" x14ac:dyDescent="0.3">
      <c r="A26" s="20" t="s">
        <v>86</v>
      </c>
      <c r="B26"/>
    </row>
    <row r="27" spans="1:14" x14ac:dyDescent="0.3">
      <c r="A27" s="3" t="s">
        <v>69</v>
      </c>
      <c r="B27" s="11">
        <f>C5*$B$23</f>
        <v>24.314285714285713</v>
      </c>
      <c r="C27" s="11">
        <f>D5*$B$23</f>
        <v>24.642857142857142</v>
      </c>
      <c r="D27" s="11">
        <f>E5*$B$23</f>
        <v>27.271428571428572</v>
      </c>
      <c r="E27" s="11">
        <f>F5*$B$23</f>
        <v>24.642857142857142</v>
      </c>
      <c r="F27" s="11"/>
      <c r="G27" s="11">
        <f>H5*$B$23</f>
        <v>20.37142857142857</v>
      </c>
      <c r="H27" s="11">
        <f>I5*$B$23</f>
        <v>25.957142857142859</v>
      </c>
      <c r="I27" s="11">
        <f>J5*$B$23</f>
        <v>22.342857142857142</v>
      </c>
      <c r="J27" s="11">
        <f>K5*$B$23</f>
        <v>20.7</v>
      </c>
      <c r="K27" s="11">
        <f>L5*$B$23</f>
        <v>26.94285714285714</v>
      </c>
      <c r="L27" s="11">
        <f>M5*$B$23</f>
        <v>25.3</v>
      </c>
      <c r="M27" s="11">
        <f>N5*$B$23</f>
        <v>24.971428571428568</v>
      </c>
    </row>
    <row r="28" spans="1:14" x14ac:dyDescent="0.3">
      <c r="A28" s="3" t="s">
        <v>70</v>
      </c>
      <c r="B28" s="11">
        <f>C6*$B$23</f>
        <v>23.985714285714284</v>
      </c>
      <c r="C28" s="11">
        <f>D6*$B$23</f>
        <v>24.642857142857142</v>
      </c>
      <c r="D28" s="11">
        <f>E6*$B$23</f>
        <v>28.914285714285715</v>
      </c>
      <c r="E28" s="11">
        <f>F6*$B$23</f>
        <v>23.985714285714284</v>
      </c>
      <c r="F28" s="11"/>
      <c r="G28" s="11">
        <f>H6*$B$23</f>
        <v>23.328571428571426</v>
      </c>
      <c r="H28" s="11">
        <f>I6*$B$23</f>
        <v>23.657142857142858</v>
      </c>
      <c r="I28" s="11">
        <f>J6*$B$23</f>
        <v>24.642857142857142</v>
      </c>
      <c r="J28" s="11">
        <f>K6*$B$23</f>
        <v>23.328571428571426</v>
      </c>
      <c r="K28" s="11">
        <f>L6*$B$23</f>
        <v>23.657142857142858</v>
      </c>
      <c r="L28" s="11">
        <f>M6*$B$23</f>
        <v>24.314285714285713</v>
      </c>
      <c r="M28" s="11">
        <f>N6*$B$23</f>
        <v>23.328571428571426</v>
      </c>
    </row>
    <row r="29" spans="1:14" x14ac:dyDescent="0.3">
      <c r="A29" s="3" t="s">
        <v>71</v>
      </c>
      <c r="B29" s="11">
        <f>C8*$B$23</f>
        <v>6.9</v>
      </c>
      <c r="C29" s="11">
        <f>D8*$B$23</f>
        <v>7.5571428571428561</v>
      </c>
      <c r="D29" s="11">
        <f>E8*$B$23</f>
        <v>6.9</v>
      </c>
      <c r="E29" s="11">
        <f>F8*$B$23</f>
        <v>7.2285714285714286</v>
      </c>
      <c r="F29" s="11"/>
      <c r="G29" s="11">
        <f>H8*$B$23</f>
        <v>6.9</v>
      </c>
      <c r="H29" s="11">
        <f>I8*$B$23</f>
        <v>8.5428571428571427</v>
      </c>
      <c r="I29" s="11">
        <f>J8*$B$23</f>
        <v>7.8857142857142852</v>
      </c>
      <c r="J29" s="11">
        <f>K8*$B$23</f>
        <v>7.2285714285714286</v>
      </c>
      <c r="K29" s="11">
        <f>L8*$B$23</f>
        <v>8.8714285714285719</v>
      </c>
      <c r="L29" s="11">
        <f>M8*$B$23</f>
        <v>7.2285714285714286</v>
      </c>
      <c r="M29" s="11">
        <f>N8*$B$23</f>
        <v>7.2285714285714286</v>
      </c>
    </row>
    <row r="30" spans="1:14" x14ac:dyDescent="0.3">
      <c r="A30" s="3" t="s">
        <v>72</v>
      </c>
      <c r="B30" s="11">
        <f>C7*$B$23</f>
        <v>18.071428571428569</v>
      </c>
      <c r="C30" s="11">
        <f>D7*$B$23</f>
        <v>30.557142857142857</v>
      </c>
      <c r="D30" s="11">
        <f>E7*$B$23</f>
        <v>15.442857142857143</v>
      </c>
      <c r="E30" s="11">
        <f>F7*$B$23</f>
        <v>18.071428571428569</v>
      </c>
      <c r="F30" s="11"/>
      <c r="G30" s="11">
        <f>H7*$B$23</f>
        <v>17.742857142857144</v>
      </c>
      <c r="H30" s="11">
        <f>I7*$B$23</f>
        <v>19.714285714285715</v>
      </c>
      <c r="I30" s="11">
        <f>J7*$B$23</f>
        <v>17.742857142857144</v>
      </c>
      <c r="J30" s="11">
        <f>K7*$B$23</f>
        <v>17.742857142857144</v>
      </c>
      <c r="K30" s="11">
        <f>L7*$B$23</f>
        <v>20.042857142857141</v>
      </c>
      <c r="L30" s="11">
        <f>M7*$B$23</f>
        <v>18.399999999999999</v>
      </c>
      <c r="M30" s="11">
        <f>N7*$B$23</f>
        <v>18.399999999999999</v>
      </c>
    </row>
    <row r="31" spans="1:14" x14ac:dyDescent="0.3">
      <c r="A31" s="3" t="s">
        <v>73</v>
      </c>
      <c r="B31" s="11">
        <f>C4*$B$23</f>
        <v>93.971428571428575</v>
      </c>
      <c r="C31" s="11">
        <f>D4*$B$23</f>
        <v>140.95714285714286</v>
      </c>
      <c r="D31" s="11">
        <f>E4*$B$23</f>
        <v>97.914285714285711</v>
      </c>
      <c r="E31" s="11">
        <f>F4*$B$23</f>
        <v>92.98571428571428</v>
      </c>
      <c r="F31" s="11"/>
      <c r="G31" s="11">
        <f>H4*$B$23</f>
        <v>92.328571428571436</v>
      </c>
      <c r="H31" s="11">
        <f>I4*$B$23</f>
        <v>99.228571428571428</v>
      </c>
      <c r="I31" s="11">
        <f>J4*$B$23</f>
        <v>127.15714285714286</v>
      </c>
      <c r="J31" s="11">
        <f>K4*$B$23</f>
        <v>92</v>
      </c>
      <c r="K31" s="11">
        <f>L4*$B$23</f>
        <v>137.67142857142855</v>
      </c>
      <c r="L31" s="11">
        <f>M4*$B$23</f>
        <v>91.342857142857142</v>
      </c>
      <c r="M31" s="11">
        <f>N4*$B$23</f>
        <v>94.957142857142856</v>
      </c>
    </row>
    <row r="32" spans="1:14" x14ac:dyDescent="0.3">
      <c r="A32" s="3" t="s">
        <v>74</v>
      </c>
      <c r="B32" s="11">
        <f>B31-SUM(B27:B29)</f>
        <v>38.771428571428579</v>
      </c>
      <c r="C32" s="11">
        <f>C31-SUM(C27:C29)</f>
        <v>84.114285714285714</v>
      </c>
      <c r="D32" s="11">
        <f>D31-SUM(D27:D29)</f>
        <v>34.828571428571429</v>
      </c>
      <c r="E32" s="11">
        <f>E31-SUM(E27:E29)</f>
        <v>37.128571428571426</v>
      </c>
      <c r="F32" s="11"/>
      <c r="G32" s="11">
        <f>G31-SUM(G27:G29)</f>
        <v>41.728571428571442</v>
      </c>
      <c r="H32" s="11">
        <f>H31-SUM(H27:H29)</f>
        <v>41.071428571428569</v>
      </c>
      <c r="I32" s="11">
        <f>I31-SUM(I27:I29)</f>
        <v>72.285714285714292</v>
      </c>
      <c r="J32" s="11">
        <f>J31-SUM(J27:J29)</f>
        <v>40.742857142857147</v>
      </c>
      <c r="K32" s="11">
        <f>K31-SUM(K27:K29)</f>
        <v>78.199999999999989</v>
      </c>
      <c r="L32" s="11">
        <f>L31-SUM(L27:L29)</f>
        <v>34.5</v>
      </c>
      <c r="M32" s="11">
        <f>M31-SUM(M27:M29)</f>
        <v>39.428571428571431</v>
      </c>
    </row>
    <row r="33" spans="1:13" x14ac:dyDescent="0.3">
      <c r="A33" s="20" t="s">
        <v>78</v>
      </c>
      <c r="B33"/>
    </row>
    <row r="34" spans="1:13" x14ac:dyDescent="0.3">
      <c r="A34" s="3" t="s">
        <v>69</v>
      </c>
      <c r="B34" s="11">
        <f>C10</f>
        <v>21.3</v>
      </c>
      <c r="C34" s="11">
        <f>D10</f>
        <v>22</v>
      </c>
      <c r="D34" s="11">
        <f>E10</f>
        <v>10.6</v>
      </c>
      <c r="E34" s="11">
        <f>F10</f>
        <v>24.5</v>
      </c>
      <c r="F34" s="11"/>
      <c r="G34" s="11">
        <f>H10</f>
        <v>17.100000000000001</v>
      </c>
      <c r="H34" s="11">
        <f>I10</f>
        <v>39</v>
      </c>
      <c r="I34" s="11">
        <f>J10</f>
        <v>6.2</v>
      </c>
      <c r="J34" s="11">
        <f>K10</f>
        <v>20.5</v>
      </c>
      <c r="K34" s="11">
        <f>L10</f>
        <v>5</v>
      </c>
      <c r="L34" s="11">
        <f>M10</f>
        <v>21.6</v>
      </c>
      <c r="M34" s="11">
        <f>N10</f>
        <v>19.7</v>
      </c>
    </row>
    <row r="35" spans="1:13" x14ac:dyDescent="0.3">
      <c r="A35" s="3" t="s">
        <v>70</v>
      </c>
      <c r="B35" s="11">
        <f>C11</f>
        <v>15.6</v>
      </c>
      <c r="C35" s="11">
        <f>D11</f>
        <v>16.600000000000001</v>
      </c>
      <c r="D35" s="11">
        <f>E11</f>
        <v>6.6</v>
      </c>
      <c r="E35" s="11">
        <f>F11</f>
        <v>17.7</v>
      </c>
      <c r="F35" s="11"/>
      <c r="G35" s="11">
        <f>H11</f>
        <v>21.1</v>
      </c>
      <c r="H35" s="11">
        <f>I11</f>
        <v>24.3</v>
      </c>
      <c r="I35" s="11">
        <f>J11</f>
        <v>12.4</v>
      </c>
      <c r="J35" s="11">
        <f>K11</f>
        <v>24.3</v>
      </c>
      <c r="K35" s="11">
        <f>L11</f>
        <v>2.5</v>
      </c>
      <c r="L35" s="11">
        <f>M11</f>
        <v>15.6</v>
      </c>
      <c r="M35" s="11">
        <f>N11</f>
        <v>14.2</v>
      </c>
    </row>
    <row r="36" spans="1:13" x14ac:dyDescent="0.3">
      <c r="A36" s="3" t="s">
        <v>71</v>
      </c>
      <c r="B36" s="11">
        <f>C13</f>
        <v>11.4</v>
      </c>
      <c r="C36" s="11">
        <f>D13</f>
        <v>12.1</v>
      </c>
      <c r="D36" s="11">
        <f>E13</f>
        <v>8.1999999999999993</v>
      </c>
      <c r="E36" s="11">
        <f>F13</f>
        <v>14.1</v>
      </c>
      <c r="F36" s="11"/>
      <c r="G36" s="11">
        <f>H13</f>
        <v>8</v>
      </c>
      <c r="H36" s="11">
        <f>I13</f>
        <v>10.4</v>
      </c>
      <c r="I36" s="11">
        <f>J13</f>
        <v>8.6999999999999993</v>
      </c>
      <c r="J36" s="11" t="str">
        <f>K13</f>
        <v>null</v>
      </c>
      <c r="K36" s="11">
        <f>L13</f>
        <v>2.5</v>
      </c>
      <c r="L36" s="11">
        <f>M13</f>
        <v>11.4</v>
      </c>
      <c r="M36" s="11">
        <f>N13</f>
        <v>10.3</v>
      </c>
    </row>
    <row r="37" spans="1:13" x14ac:dyDescent="0.3">
      <c r="A37" s="3" t="s">
        <v>72</v>
      </c>
      <c r="B37" s="11">
        <f>C12</f>
        <v>19.2</v>
      </c>
      <c r="C37" s="11">
        <f>D12</f>
        <v>19.899999999999999</v>
      </c>
      <c r="D37" s="11">
        <f>E12</f>
        <v>7.8</v>
      </c>
      <c r="E37" s="11">
        <f>F12</f>
        <v>24.1</v>
      </c>
      <c r="F37" s="11"/>
      <c r="G37" s="11">
        <f>H12</f>
        <v>14.1</v>
      </c>
      <c r="H37" s="11">
        <f>I12</f>
        <v>17.3</v>
      </c>
      <c r="I37" s="11">
        <f>J12</f>
        <v>13.2</v>
      </c>
      <c r="J37" s="11">
        <f>K12</f>
        <v>17.399999999999999</v>
      </c>
      <c r="K37" s="11">
        <f>L12</f>
        <v>1.9</v>
      </c>
      <c r="L37" s="11">
        <f>M12</f>
        <v>19.2</v>
      </c>
      <c r="M37" s="11">
        <f>N12</f>
        <v>17.8</v>
      </c>
    </row>
    <row r="38" spans="1:13" x14ac:dyDescent="0.3">
      <c r="A38" s="3" t="s">
        <v>73</v>
      </c>
      <c r="B38" s="11">
        <f>C9</f>
        <v>116</v>
      </c>
      <c r="C38" s="11">
        <f>D9</f>
        <v>131.6</v>
      </c>
      <c r="D38" s="11">
        <f>E9</f>
        <v>49.6</v>
      </c>
      <c r="E38" s="11">
        <f>F9</f>
        <v>113.5</v>
      </c>
      <c r="F38" s="11"/>
      <c r="G38" s="11">
        <f>H9</f>
        <v>77.099999999999994</v>
      </c>
      <c r="H38" s="11">
        <f>I9</f>
        <v>123.4</v>
      </c>
      <c r="I38" s="11">
        <f>J9</f>
        <v>65</v>
      </c>
      <c r="J38" s="11">
        <f>K9</f>
        <v>93.1</v>
      </c>
      <c r="K38" s="11">
        <f>L9</f>
        <v>24.8</v>
      </c>
      <c r="L38" s="11">
        <f>M9</f>
        <v>94.3</v>
      </c>
      <c r="M38" s="11">
        <f>N9</f>
        <v>86.9</v>
      </c>
    </row>
    <row r="39" spans="1:13" x14ac:dyDescent="0.3">
      <c r="A39" s="3" t="s">
        <v>74</v>
      </c>
      <c r="B39" s="11">
        <f>B38-SUM(B34:B36)</f>
        <v>67.7</v>
      </c>
      <c r="C39" s="11">
        <f>C38-SUM(C34:C36)</f>
        <v>80.899999999999991</v>
      </c>
      <c r="D39" s="11">
        <f>D38-SUM(D34:D36)</f>
        <v>24.200000000000003</v>
      </c>
      <c r="E39" s="11">
        <f>E38-SUM(E34:E36)</f>
        <v>57.199999999999996</v>
      </c>
      <c r="F39" s="11"/>
      <c r="G39" s="11">
        <f>G38-SUM(G34:G36)</f>
        <v>30.899999999999991</v>
      </c>
      <c r="H39" s="11">
        <f>H38-SUM(H34:H36)</f>
        <v>49.7</v>
      </c>
      <c r="I39" s="11">
        <f>I38-SUM(I34:I36)</f>
        <v>37.700000000000003</v>
      </c>
      <c r="J39" s="11"/>
      <c r="K39" s="11">
        <f>K38-SUM(K34:K36)</f>
        <v>14.8</v>
      </c>
      <c r="L39" s="11">
        <f>L38-SUM(L34:L36)</f>
        <v>45.699999999999996</v>
      </c>
      <c r="M39" s="11">
        <f>M38-SUM(M34:M36)</f>
        <v>42.7</v>
      </c>
    </row>
    <row r="40" spans="1:13" x14ac:dyDescent="0.3">
      <c r="A40" s="20" t="s">
        <v>79</v>
      </c>
      <c r="B40"/>
    </row>
    <row r="41" spans="1:13" x14ac:dyDescent="0.3">
      <c r="A41" s="3" t="s">
        <v>69</v>
      </c>
      <c r="B41" s="11">
        <f>C15</f>
        <v>67</v>
      </c>
      <c r="C41" s="11">
        <f>D15</f>
        <v>69</v>
      </c>
      <c r="D41" s="11">
        <f>E15</f>
        <v>111</v>
      </c>
      <c r="E41" s="11">
        <f>F15</f>
        <v>67</v>
      </c>
      <c r="F41" s="11"/>
      <c r="G41" s="11">
        <f>H15</f>
        <v>61</v>
      </c>
      <c r="H41" s="11">
        <f>I15</f>
        <v>85</v>
      </c>
      <c r="I41" s="11">
        <f>J15</f>
        <v>91</v>
      </c>
      <c r="J41" s="11">
        <f>K15</f>
        <v>62</v>
      </c>
      <c r="K41" s="11">
        <f>L15</f>
        <v>96</v>
      </c>
      <c r="L41" s="11">
        <f>M15</f>
        <v>69</v>
      </c>
      <c r="M41" s="11">
        <f>N15</f>
        <v>69</v>
      </c>
    </row>
    <row r="42" spans="1:13" x14ac:dyDescent="0.3">
      <c r="A42" s="3" t="s">
        <v>70</v>
      </c>
      <c r="B42" s="11">
        <f>C16</f>
        <v>95</v>
      </c>
      <c r="C42" s="11">
        <f>D16</f>
        <v>111</v>
      </c>
      <c r="D42" s="11">
        <f>E16</f>
        <v>100</v>
      </c>
      <c r="E42" s="11">
        <f>F16</f>
        <v>96</v>
      </c>
      <c r="F42" s="11"/>
      <c r="G42" s="11">
        <f>H16</f>
        <v>67</v>
      </c>
      <c r="H42" s="11">
        <f>I16</f>
        <v>127</v>
      </c>
      <c r="I42" s="11">
        <f>J16</f>
        <v>114</v>
      </c>
      <c r="J42" s="11">
        <f>K16</f>
        <v>67</v>
      </c>
      <c r="K42" s="11">
        <f>L16</f>
        <v>110</v>
      </c>
      <c r="L42" s="11">
        <f>M16</f>
        <v>97</v>
      </c>
      <c r="M42" s="11">
        <f>N16</f>
        <v>99</v>
      </c>
    </row>
    <row r="43" spans="1:13" x14ac:dyDescent="0.3">
      <c r="A43" s="3" t="s">
        <v>71</v>
      </c>
      <c r="B43" s="11">
        <f>C18</f>
        <v>62</v>
      </c>
      <c r="C43" s="11">
        <f>D18</f>
        <v>67</v>
      </c>
      <c r="D43" s="11">
        <f>E18</f>
        <v>72</v>
      </c>
      <c r="E43" s="11">
        <f>F18</f>
        <v>61</v>
      </c>
      <c r="F43" s="11"/>
      <c r="G43" s="11">
        <f>H18</f>
        <v>85</v>
      </c>
      <c r="H43" s="11">
        <f>I18</f>
        <v>106</v>
      </c>
      <c r="I43" s="11">
        <f>J18</f>
        <v>91</v>
      </c>
      <c r="J43" s="11">
        <f>K18</f>
        <v>86</v>
      </c>
      <c r="K43" s="11">
        <f>L18</f>
        <v>114</v>
      </c>
      <c r="L43" s="11">
        <f>M18</f>
        <v>63</v>
      </c>
      <c r="M43" s="11">
        <f>N18</f>
        <v>63</v>
      </c>
    </row>
    <row r="44" spans="1:13" x14ac:dyDescent="0.3">
      <c r="A44" s="3" t="s">
        <v>72</v>
      </c>
      <c r="B44" s="11">
        <f>C17</f>
        <v>95</v>
      </c>
      <c r="C44" s="11">
        <f>D17</f>
        <v>170</v>
      </c>
      <c r="D44" s="11">
        <f>E17</f>
        <v>112</v>
      </c>
      <c r="E44" s="11">
        <f>F17</f>
        <v>95</v>
      </c>
      <c r="F44" s="11"/>
      <c r="G44" s="11">
        <f>H17</f>
        <v>118</v>
      </c>
      <c r="H44" s="11">
        <f>I17</f>
        <v>189</v>
      </c>
      <c r="I44" s="11">
        <f>J17</f>
        <v>182</v>
      </c>
      <c r="J44" s="11">
        <f>K17</f>
        <v>114</v>
      </c>
      <c r="K44" s="11">
        <f>L17</f>
        <v>138</v>
      </c>
      <c r="L44" s="11">
        <f>M17</f>
        <v>97</v>
      </c>
      <c r="M44" s="11">
        <f>N17</f>
        <v>97</v>
      </c>
    </row>
    <row r="45" spans="1:13" x14ac:dyDescent="0.3">
      <c r="A45" s="3" t="s">
        <v>73</v>
      </c>
      <c r="B45" s="11">
        <f>C14</f>
        <v>471</v>
      </c>
      <c r="C45" s="11">
        <f>D14</f>
        <v>1018</v>
      </c>
      <c r="D45" s="11">
        <f>E14</f>
        <v>556</v>
      </c>
      <c r="E45" s="11">
        <f>F14</f>
        <v>471</v>
      </c>
      <c r="F45" s="11"/>
      <c r="G45" s="11">
        <f>H14</f>
        <v>480</v>
      </c>
      <c r="H45" s="11">
        <f>I14</f>
        <v>681</v>
      </c>
      <c r="I45" s="11">
        <f>J14</f>
        <v>931</v>
      </c>
      <c r="J45" s="11">
        <f>K14</f>
        <v>476</v>
      </c>
      <c r="K45" s="11">
        <f>L14</f>
        <v>571</v>
      </c>
      <c r="L45" s="11">
        <f>M14</f>
        <v>471</v>
      </c>
      <c r="M45" s="11">
        <f>N14</f>
        <v>477</v>
      </c>
    </row>
    <row r="46" spans="1:13" x14ac:dyDescent="0.3">
      <c r="A46" s="3" t="s">
        <v>74</v>
      </c>
      <c r="B46" s="11">
        <f>B45-SUM(B41:B43)</f>
        <v>247</v>
      </c>
      <c r="C46" s="11">
        <f>C45-SUM(C41:C43)</f>
        <v>771</v>
      </c>
      <c r="D46" s="11">
        <f>D45-SUM(D41:D43)</f>
        <v>273</v>
      </c>
      <c r="E46" s="11">
        <f>E45-SUM(E41:E43)</f>
        <v>247</v>
      </c>
      <c r="F46" s="11"/>
      <c r="G46" s="11">
        <f>G45-SUM(G41:G43)</f>
        <v>267</v>
      </c>
      <c r="H46" s="11">
        <f>H45-SUM(H41:H43)</f>
        <v>363</v>
      </c>
      <c r="I46" s="11">
        <f>I45-SUM(I41:I43)</f>
        <v>635</v>
      </c>
      <c r="J46" s="11">
        <f>J45-SUM(J41:J43)</f>
        <v>261</v>
      </c>
      <c r="K46" s="11">
        <f>K45-SUM(K41:K43)</f>
        <v>251</v>
      </c>
      <c r="L46" s="11">
        <f>L45-SUM(L41:L43)</f>
        <v>242</v>
      </c>
      <c r="M46" s="11">
        <f>M45-SUM(M41:M43)</f>
        <v>246</v>
      </c>
    </row>
    <row r="48" spans="1:13" x14ac:dyDescent="0.3">
      <c r="A48" s="3" t="s">
        <v>29</v>
      </c>
      <c r="B48" s="15" t="s">
        <v>139</v>
      </c>
    </row>
    <row r="49" s="3" customFormat="1" x14ac:dyDescent="0.3"/>
    <row r="51" s="3" customFormat="1" x14ac:dyDescent="0.3"/>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H26" sqref="H26"/>
    </sheetView>
  </sheetViews>
  <sheetFormatPr defaultRowHeight="14.4" x14ac:dyDescent="0.3"/>
  <sheetData>
    <row r="1" spans="1:13" s="3" customFormat="1" x14ac:dyDescent="0.3">
      <c r="A1" s="3" t="s">
        <v>87</v>
      </c>
    </row>
    <row r="3" spans="1:13" s="61" customFormat="1" ht="42" customHeight="1" x14ac:dyDescent="0.3">
      <c r="B3" s="61" t="s">
        <v>0</v>
      </c>
      <c r="C3" s="61" t="s">
        <v>1</v>
      </c>
      <c r="D3" s="61" t="s">
        <v>2</v>
      </c>
      <c r="E3" s="61" t="s">
        <v>3</v>
      </c>
      <c r="G3" s="61" t="s">
        <v>4</v>
      </c>
      <c r="H3" s="61" t="s">
        <v>5</v>
      </c>
      <c r="I3" s="61" t="s">
        <v>6</v>
      </c>
      <c r="J3" s="61" t="s">
        <v>7</v>
      </c>
      <c r="K3" s="61" t="s">
        <v>8</v>
      </c>
      <c r="L3" s="61" t="s">
        <v>9</v>
      </c>
      <c r="M3" s="61" t="s">
        <v>10</v>
      </c>
    </row>
    <row r="4" spans="1:13" x14ac:dyDescent="0.3">
      <c r="A4" s="20" t="s">
        <v>86</v>
      </c>
    </row>
    <row r="5" spans="1:13" x14ac:dyDescent="0.3">
      <c r="A5" s="3" t="s">
        <v>14</v>
      </c>
      <c r="B5" s="1">
        <f>0.2*'Table S7ab'!B27</f>
        <v>4.862857142857143</v>
      </c>
      <c r="C5" s="1">
        <f>0.2*'Table S7ab'!C27</f>
        <v>4.9285714285714288</v>
      </c>
      <c r="D5" s="1">
        <f>0.2*'Table S7ab'!D27</f>
        <v>5.4542857142857146</v>
      </c>
      <c r="E5" s="1">
        <f>0.2*'Table S7ab'!E27</f>
        <v>4.9285714285714288</v>
      </c>
      <c r="F5" s="1"/>
      <c r="G5" s="1">
        <f>0.2*'Table S7ab'!G27</f>
        <v>4.0742857142857138</v>
      </c>
      <c r="H5" s="1">
        <f>0.2*'Table S7ab'!H27</f>
        <v>5.1914285714285722</v>
      </c>
      <c r="I5" s="1">
        <f>0.2*'Table S7ab'!I27</f>
        <v>4.4685714285714289</v>
      </c>
      <c r="J5" s="1">
        <f>0.2*'Table S7ab'!J27</f>
        <v>4.1399999999999997</v>
      </c>
      <c r="K5" s="1">
        <f>0.2*'Table S7ab'!K27</f>
        <v>5.3885714285714279</v>
      </c>
      <c r="L5" s="1">
        <f>0.2*'Table S7ab'!L27</f>
        <v>5.0600000000000005</v>
      </c>
      <c r="M5" s="1">
        <f>0.2*'Table S7ab'!M27</f>
        <v>4.9942857142857138</v>
      </c>
    </row>
    <row r="6" spans="1:13" x14ac:dyDescent="0.3">
      <c r="A6" s="3" t="s">
        <v>15</v>
      </c>
      <c r="B6" s="1">
        <f>0.2*'Table S7ab'!B28</f>
        <v>4.7971428571428572</v>
      </c>
      <c r="C6" s="1">
        <f>0.2*'Table S7ab'!C28</f>
        <v>4.9285714285714288</v>
      </c>
      <c r="D6" s="1">
        <f>0.2*'Table S7ab'!D28</f>
        <v>5.7828571428571429</v>
      </c>
      <c r="E6" s="1">
        <f>0.2*'Table S7ab'!E28</f>
        <v>4.7971428571428572</v>
      </c>
      <c r="F6" s="1"/>
      <c r="G6" s="1">
        <f>0.2*'Table S7ab'!G28</f>
        <v>4.6657142857142855</v>
      </c>
      <c r="H6" s="1">
        <f>0.2*'Table S7ab'!H28</f>
        <v>4.7314285714285722</v>
      </c>
      <c r="I6" s="1">
        <f>0.2*'Table S7ab'!I28</f>
        <v>4.9285714285714288</v>
      </c>
      <c r="J6" s="1">
        <f>0.2*'Table S7ab'!J28</f>
        <v>4.6657142857142855</v>
      </c>
      <c r="K6" s="1">
        <f>0.2*'Table S7ab'!K28</f>
        <v>4.7314285714285722</v>
      </c>
      <c r="L6" s="1">
        <f>0.2*'Table S7ab'!L28</f>
        <v>4.862857142857143</v>
      </c>
      <c r="M6" s="1">
        <f>0.2*'Table S7ab'!M28</f>
        <v>4.6657142857142855</v>
      </c>
    </row>
    <row r="7" spans="1:13" x14ac:dyDescent="0.3">
      <c r="A7" s="3" t="s">
        <v>16</v>
      </c>
      <c r="B7" s="1">
        <f>0.2*'Table S7ab'!B29</f>
        <v>1.3800000000000001</v>
      </c>
      <c r="C7" s="1">
        <f>0.2*'Table S7ab'!C29</f>
        <v>1.5114285714285713</v>
      </c>
      <c r="D7" s="1">
        <f>0.2*'Table S7ab'!D29</f>
        <v>1.3800000000000001</v>
      </c>
      <c r="E7" s="1">
        <f>0.2*'Table S7ab'!E29</f>
        <v>1.4457142857142857</v>
      </c>
      <c r="F7" s="1"/>
      <c r="G7" s="1">
        <f>0.2*'Table S7ab'!G29</f>
        <v>1.3800000000000001</v>
      </c>
      <c r="H7" s="1">
        <f>0.2*'Table S7ab'!H29</f>
        <v>1.7085714285714286</v>
      </c>
      <c r="I7" s="1">
        <f>0.2*'Table S7ab'!I29</f>
        <v>1.5771428571428572</v>
      </c>
      <c r="J7" s="1">
        <f>0.2*'Table S7ab'!J29</f>
        <v>1.4457142857142857</v>
      </c>
      <c r="K7" s="1">
        <f>0.2*'Table S7ab'!K29</f>
        <v>1.7742857142857145</v>
      </c>
      <c r="L7" s="1">
        <f>0.2*'Table S7ab'!L29</f>
        <v>1.4457142857142857</v>
      </c>
      <c r="M7" s="1">
        <f>0.2*'Table S7ab'!M29</f>
        <v>1.4457142857142857</v>
      </c>
    </row>
    <row r="8" spans="1:13" x14ac:dyDescent="0.3">
      <c r="A8" s="3" t="s">
        <v>17</v>
      </c>
      <c r="B8" s="1">
        <f>0.2*'Table S7ab'!B30</f>
        <v>3.6142857142857139</v>
      </c>
      <c r="C8" s="1">
        <f>0.2*'Table S7ab'!C30</f>
        <v>6.1114285714285721</v>
      </c>
      <c r="D8" s="1">
        <f>0.2*'Table S7ab'!D30</f>
        <v>3.088571428571429</v>
      </c>
      <c r="E8" s="1">
        <f>0.2*'Table S7ab'!E30</f>
        <v>3.6142857142857139</v>
      </c>
      <c r="F8" s="1"/>
      <c r="G8" s="1">
        <f>0.2*'Table S7ab'!G30</f>
        <v>3.5485714285714289</v>
      </c>
      <c r="H8" s="1">
        <f>0.2*'Table S7ab'!H30</f>
        <v>3.9428571428571431</v>
      </c>
      <c r="I8" s="1">
        <f>0.2*'Table S7ab'!I30</f>
        <v>3.5485714285714289</v>
      </c>
      <c r="J8" s="1">
        <f>0.2*'Table S7ab'!J30</f>
        <v>3.5485714285714289</v>
      </c>
      <c r="K8" s="1">
        <f>0.2*'Table S7ab'!K30</f>
        <v>4.008571428571428</v>
      </c>
      <c r="L8" s="1">
        <f>0.2*'Table S7ab'!L30</f>
        <v>3.6799999999999997</v>
      </c>
      <c r="M8" s="1">
        <f>0.2*'Table S7ab'!M30</f>
        <v>3.6799999999999997</v>
      </c>
    </row>
    <row r="9" spans="1:13" x14ac:dyDescent="0.3">
      <c r="A9" s="3" t="s">
        <v>18</v>
      </c>
      <c r="B9" s="1">
        <f>0.2*'Table S7ab'!B31</f>
        <v>18.794285714285717</v>
      </c>
      <c r="C9" s="1">
        <f>0.2*'Table S7ab'!C31</f>
        <v>28.191428571428574</v>
      </c>
      <c r="D9" s="1">
        <f>0.2*'Table S7ab'!D31</f>
        <v>19.582857142857144</v>
      </c>
      <c r="E9" s="1">
        <f>0.2*'Table S7ab'!E31</f>
        <v>18.597142857142856</v>
      </c>
      <c r="F9" s="1"/>
      <c r="G9" s="1">
        <f>0.2*'Table S7ab'!G31</f>
        <v>18.465714285714288</v>
      </c>
      <c r="H9" s="1">
        <f>0.2*'Table S7ab'!H31</f>
        <v>19.845714285714287</v>
      </c>
      <c r="I9" s="1">
        <f>0.2*'Table S7ab'!I31</f>
        <v>25.431428571428572</v>
      </c>
      <c r="J9" s="1">
        <f>0.2*'Table S7ab'!J31</f>
        <v>18.400000000000002</v>
      </c>
      <c r="K9" s="1">
        <f>0.2*'Table S7ab'!K31</f>
        <v>27.534285714285712</v>
      </c>
      <c r="L9" s="1">
        <f>0.2*'Table S7ab'!L31</f>
        <v>18.26857142857143</v>
      </c>
      <c r="M9" s="1">
        <f>0.2*'Table S7ab'!M31</f>
        <v>18.991428571428571</v>
      </c>
    </row>
    <row r="10" spans="1:13" x14ac:dyDescent="0.3">
      <c r="A10" s="21" t="s">
        <v>74</v>
      </c>
      <c r="B10" s="1">
        <f>0.2*'Table S7ab'!B32</f>
        <v>7.7542857142857162</v>
      </c>
      <c r="C10" s="1">
        <f>0.2*'Table S7ab'!C32</f>
        <v>16.822857142857142</v>
      </c>
      <c r="D10" s="1">
        <f>0.2*'Table S7ab'!D32</f>
        <v>6.9657142857142862</v>
      </c>
      <c r="E10" s="1">
        <f>0.2*'Table S7ab'!E32</f>
        <v>7.4257142857142853</v>
      </c>
      <c r="F10" s="1"/>
      <c r="G10" s="1">
        <f>0.2*'Table S7ab'!G32</f>
        <v>8.3457142857142887</v>
      </c>
      <c r="H10" s="1">
        <f>0.2*'Table S7ab'!H32</f>
        <v>8.2142857142857135</v>
      </c>
      <c r="I10" s="1">
        <f>0.2*'Table S7ab'!I32</f>
        <v>14.457142857142859</v>
      </c>
      <c r="J10" s="1">
        <f>0.2*'Table S7ab'!J32</f>
        <v>8.1485714285714295</v>
      </c>
      <c r="K10" s="1">
        <f>0.2*'Table S7ab'!K32</f>
        <v>15.639999999999999</v>
      </c>
      <c r="L10" s="1">
        <f>0.2*'Table S7ab'!L32</f>
        <v>6.9</v>
      </c>
      <c r="M10" s="1">
        <f>0.2*'Table S7ab'!M32</f>
        <v>7.8857142857142861</v>
      </c>
    </row>
    <row r="11" spans="1:13" x14ac:dyDescent="0.3">
      <c r="A11" s="20" t="s">
        <v>78</v>
      </c>
      <c r="B11" s="1"/>
      <c r="C11" s="1"/>
      <c r="D11" s="1"/>
      <c r="E11" s="1"/>
      <c r="F11" s="1"/>
      <c r="G11" s="1"/>
      <c r="H11" s="1"/>
      <c r="I11" s="1"/>
      <c r="J11" s="1"/>
      <c r="K11" s="1"/>
      <c r="L11" s="1"/>
      <c r="M11" s="1"/>
    </row>
    <row r="12" spans="1:13" x14ac:dyDescent="0.3">
      <c r="A12" s="3" t="s">
        <v>19</v>
      </c>
      <c r="B12" s="1">
        <f>0.2*'Table S7ab'!B34</f>
        <v>4.2600000000000007</v>
      </c>
      <c r="C12" s="1">
        <f>0.2*'Table S7ab'!C34</f>
        <v>4.4000000000000004</v>
      </c>
      <c r="D12" s="1">
        <f>0.2*'Table S7ab'!D34</f>
        <v>2.12</v>
      </c>
      <c r="E12" s="1">
        <f>0.2*'Table S7ab'!E34</f>
        <v>4.9000000000000004</v>
      </c>
      <c r="F12" s="1"/>
      <c r="G12" s="1">
        <f>0.2*'Table S7ab'!G34</f>
        <v>3.4200000000000004</v>
      </c>
      <c r="H12" s="1">
        <f>0.2*'Table S7ab'!H34</f>
        <v>7.8000000000000007</v>
      </c>
      <c r="I12" s="1">
        <f>0.2*'Table S7ab'!I34</f>
        <v>1.2400000000000002</v>
      </c>
      <c r="J12" s="1">
        <f>0.2*'Table S7ab'!J34</f>
        <v>4.1000000000000005</v>
      </c>
      <c r="K12" s="1">
        <f>0.2*'Table S7ab'!K34</f>
        <v>1</v>
      </c>
      <c r="L12" s="1">
        <f>0.2*'Table S7ab'!L34</f>
        <v>4.32</v>
      </c>
      <c r="M12" s="1">
        <f>0.2*'Table S7ab'!M34</f>
        <v>3.94</v>
      </c>
    </row>
    <row r="13" spans="1:13" x14ac:dyDescent="0.3">
      <c r="A13" s="3" t="s">
        <v>20</v>
      </c>
      <c r="B13" s="1">
        <f>0.2*'Table S7ab'!B35</f>
        <v>3.12</v>
      </c>
      <c r="C13" s="1">
        <f>0.2*'Table S7ab'!C35</f>
        <v>3.3200000000000003</v>
      </c>
      <c r="D13" s="1">
        <f>0.2*'Table S7ab'!D35</f>
        <v>1.32</v>
      </c>
      <c r="E13" s="1">
        <f>0.2*'Table S7ab'!E35</f>
        <v>3.54</v>
      </c>
      <c r="F13" s="1"/>
      <c r="G13" s="1">
        <f>0.2*'Table S7ab'!G35</f>
        <v>4.2200000000000006</v>
      </c>
      <c r="H13" s="1">
        <f>0.2*'Table S7ab'!H35</f>
        <v>4.8600000000000003</v>
      </c>
      <c r="I13" s="1">
        <f>0.2*'Table S7ab'!I35</f>
        <v>2.4800000000000004</v>
      </c>
      <c r="J13" s="1">
        <f>0.2*'Table S7ab'!J35</f>
        <v>4.8600000000000003</v>
      </c>
      <c r="K13" s="1">
        <f>0.2*'Table S7ab'!K35</f>
        <v>0.5</v>
      </c>
      <c r="L13" s="1">
        <f>0.2*'Table S7ab'!L35</f>
        <v>3.12</v>
      </c>
      <c r="M13" s="1">
        <f>0.2*'Table S7ab'!M35</f>
        <v>2.84</v>
      </c>
    </row>
    <row r="14" spans="1:13" x14ac:dyDescent="0.3">
      <c r="A14" s="3" t="s">
        <v>21</v>
      </c>
      <c r="B14" s="1">
        <f>0.2*'Table S7ab'!B36</f>
        <v>2.2800000000000002</v>
      </c>
      <c r="C14" s="1">
        <f>0.2*'Table S7ab'!C36</f>
        <v>2.42</v>
      </c>
      <c r="D14" s="1">
        <f>0.2*'Table S7ab'!D36</f>
        <v>1.64</v>
      </c>
      <c r="E14" s="1">
        <f>0.2*'Table S7ab'!E36</f>
        <v>2.8200000000000003</v>
      </c>
      <c r="F14" s="1"/>
      <c r="G14" s="1">
        <f>0.2*'Table S7ab'!G36</f>
        <v>1.6</v>
      </c>
      <c r="H14" s="1">
        <f>0.2*'Table S7ab'!H36</f>
        <v>2.08</v>
      </c>
      <c r="I14" s="1">
        <f>0.2*'Table S7ab'!I36</f>
        <v>1.74</v>
      </c>
      <c r="J14" s="1"/>
      <c r="K14" s="1">
        <f>0.2*'Table S7ab'!K36</f>
        <v>0.5</v>
      </c>
      <c r="L14" s="1">
        <f>0.2*'Table S7ab'!L36</f>
        <v>2.2800000000000002</v>
      </c>
      <c r="M14" s="1">
        <f>0.2*'Table S7ab'!M36</f>
        <v>2.06</v>
      </c>
    </row>
    <row r="15" spans="1:13" x14ac:dyDescent="0.3">
      <c r="A15" s="3" t="s">
        <v>22</v>
      </c>
      <c r="B15" s="1">
        <f>0.2*'Table S7ab'!B37</f>
        <v>3.84</v>
      </c>
      <c r="C15" s="1">
        <f>0.2*'Table S7ab'!C37</f>
        <v>3.98</v>
      </c>
      <c r="D15" s="1">
        <f>0.2*'Table S7ab'!D37</f>
        <v>1.56</v>
      </c>
      <c r="E15" s="1">
        <f>0.2*'Table S7ab'!E37</f>
        <v>4.82</v>
      </c>
      <c r="F15" s="1"/>
      <c r="G15" s="1">
        <f>0.2*'Table S7ab'!G37</f>
        <v>2.8200000000000003</v>
      </c>
      <c r="H15" s="1">
        <f>0.2*'Table S7ab'!H37</f>
        <v>3.4600000000000004</v>
      </c>
      <c r="I15" s="1">
        <f>0.2*'Table S7ab'!I37</f>
        <v>2.64</v>
      </c>
      <c r="J15" s="1">
        <f>0.2*'Table S7ab'!J37</f>
        <v>3.48</v>
      </c>
      <c r="K15" s="1">
        <f>0.2*'Table S7ab'!K37</f>
        <v>0.38</v>
      </c>
      <c r="L15" s="1">
        <f>0.2*'Table S7ab'!L37</f>
        <v>3.84</v>
      </c>
      <c r="M15" s="1">
        <f>0.2*'Table S7ab'!M37</f>
        <v>3.5600000000000005</v>
      </c>
    </row>
    <row r="16" spans="1:13" x14ac:dyDescent="0.3">
      <c r="A16" s="3" t="s">
        <v>23</v>
      </c>
      <c r="B16" s="1">
        <f>0.2*'Table S7ab'!B38</f>
        <v>23.200000000000003</v>
      </c>
      <c r="C16" s="1">
        <f>0.2*'Table S7ab'!C38</f>
        <v>26.32</v>
      </c>
      <c r="D16" s="1">
        <f>0.2*'Table S7ab'!D38</f>
        <v>9.9200000000000017</v>
      </c>
      <c r="E16" s="1">
        <f>0.2*'Table S7ab'!E38</f>
        <v>22.700000000000003</v>
      </c>
      <c r="F16" s="1"/>
      <c r="G16" s="1">
        <f>0.2*'Table S7ab'!G38</f>
        <v>15.42</v>
      </c>
      <c r="H16" s="1">
        <f>0.2*'Table S7ab'!H38</f>
        <v>24.680000000000003</v>
      </c>
      <c r="I16" s="1">
        <f>0.2*'Table S7ab'!I38</f>
        <v>13</v>
      </c>
      <c r="J16" s="1">
        <f>0.2*'Table S7ab'!J38</f>
        <v>18.62</v>
      </c>
      <c r="K16" s="1">
        <f>0.2*'Table S7ab'!K38</f>
        <v>4.9600000000000009</v>
      </c>
      <c r="L16" s="1">
        <f>0.2*'Table S7ab'!L38</f>
        <v>18.86</v>
      </c>
      <c r="M16" s="1">
        <f>0.2*'Table S7ab'!M38</f>
        <v>17.380000000000003</v>
      </c>
    </row>
    <row r="17" spans="1:13" x14ac:dyDescent="0.3">
      <c r="A17" s="21" t="s">
        <v>74</v>
      </c>
      <c r="B17" s="1">
        <f>0.2*'Table S7ab'!B39</f>
        <v>13.540000000000001</v>
      </c>
      <c r="C17" s="1">
        <f>0.2*'Table S7ab'!C39</f>
        <v>16.18</v>
      </c>
      <c r="D17" s="1">
        <f>0.2*'Table S7ab'!D39</f>
        <v>4.8400000000000007</v>
      </c>
      <c r="E17" s="1">
        <f>0.2*'Table S7ab'!E39</f>
        <v>11.44</v>
      </c>
      <c r="F17" s="1"/>
      <c r="G17" s="1">
        <f>0.2*'Table S7ab'!G39</f>
        <v>6.1799999999999988</v>
      </c>
      <c r="H17" s="1">
        <f>0.2*'Table S7ab'!H39</f>
        <v>9.9400000000000013</v>
      </c>
      <c r="I17" s="1">
        <f>0.2*'Table S7ab'!I39</f>
        <v>7.5400000000000009</v>
      </c>
      <c r="J17" s="1"/>
      <c r="K17" s="1">
        <f>0.2*'Table S7ab'!K39</f>
        <v>2.9600000000000004</v>
      </c>
      <c r="L17" s="1">
        <f>0.2*'Table S7ab'!L39</f>
        <v>9.1399999999999988</v>
      </c>
      <c r="M17" s="1">
        <f>0.2*'Table S7ab'!M39</f>
        <v>8.5400000000000009</v>
      </c>
    </row>
    <row r="18" spans="1:13" x14ac:dyDescent="0.3">
      <c r="A18" s="20" t="s">
        <v>79</v>
      </c>
      <c r="B18" s="1"/>
      <c r="C18" s="1"/>
      <c r="D18" s="1"/>
      <c r="E18" s="1"/>
      <c r="F18" s="1"/>
      <c r="G18" s="1"/>
      <c r="H18" s="1"/>
      <c r="I18" s="1"/>
      <c r="J18" s="1"/>
      <c r="K18" s="1"/>
      <c r="L18" s="1"/>
      <c r="M18" s="1"/>
    </row>
    <row r="19" spans="1:13" x14ac:dyDescent="0.3">
      <c r="A19" s="3" t="s">
        <v>24</v>
      </c>
      <c r="B19" s="1">
        <f>0.2*'Table S7ab'!B41</f>
        <v>13.4</v>
      </c>
      <c r="C19" s="1">
        <f>0.2*'Table S7ab'!C41</f>
        <v>13.8</v>
      </c>
      <c r="D19" s="1">
        <f>0.2*'Table S7ab'!D41</f>
        <v>22.200000000000003</v>
      </c>
      <c r="E19" s="1">
        <f>0.2*'Table S7ab'!E41</f>
        <v>13.4</v>
      </c>
      <c r="F19" s="1"/>
      <c r="G19" s="1">
        <f>0.2*'Table S7ab'!G41</f>
        <v>12.200000000000001</v>
      </c>
      <c r="H19" s="1">
        <f>0.2*'Table S7ab'!H41</f>
        <v>17</v>
      </c>
      <c r="I19" s="1">
        <f>0.2*'Table S7ab'!I41</f>
        <v>18.2</v>
      </c>
      <c r="J19" s="1">
        <f>0.2*'Table S7ab'!J41</f>
        <v>12.4</v>
      </c>
      <c r="K19" s="1">
        <f>0.2*'Table S7ab'!K41</f>
        <v>19.200000000000003</v>
      </c>
      <c r="L19" s="1">
        <f>0.2*'Table S7ab'!L41</f>
        <v>13.8</v>
      </c>
      <c r="M19" s="1">
        <f>0.2*'Table S7ab'!M41</f>
        <v>13.8</v>
      </c>
    </row>
    <row r="20" spans="1:13" x14ac:dyDescent="0.3">
      <c r="A20" s="3" t="s">
        <v>25</v>
      </c>
      <c r="B20" s="1">
        <f>0.2*'Table S7ab'!B42</f>
        <v>19</v>
      </c>
      <c r="C20" s="1">
        <f>0.2*'Table S7ab'!C42</f>
        <v>22.200000000000003</v>
      </c>
      <c r="D20" s="1">
        <f>0.2*'Table S7ab'!D42</f>
        <v>20</v>
      </c>
      <c r="E20" s="1">
        <f>0.2*'Table S7ab'!E42</f>
        <v>19.200000000000003</v>
      </c>
      <c r="F20" s="1"/>
      <c r="G20" s="1">
        <f>0.2*'Table S7ab'!G42</f>
        <v>13.4</v>
      </c>
      <c r="H20" s="1">
        <f>0.2*'Table S7ab'!H42</f>
        <v>25.400000000000002</v>
      </c>
      <c r="I20" s="1">
        <f>0.2*'Table S7ab'!I42</f>
        <v>22.8</v>
      </c>
      <c r="J20" s="1">
        <f>0.2*'Table S7ab'!J42</f>
        <v>13.4</v>
      </c>
      <c r="K20" s="1">
        <f>0.2*'Table S7ab'!K42</f>
        <v>22</v>
      </c>
      <c r="L20" s="1">
        <f>0.2*'Table S7ab'!L42</f>
        <v>19.400000000000002</v>
      </c>
      <c r="M20" s="1">
        <f>0.2*'Table S7ab'!M42</f>
        <v>19.8</v>
      </c>
    </row>
    <row r="21" spans="1:13" x14ac:dyDescent="0.3">
      <c r="A21" s="3" t="s">
        <v>26</v>
      </c>
      <c r="B21" s="1">
        <f>0.2*'Table S7ab'!B43</f>
        <v>12.4</v>
      </c>
      <c r="C21" s="1">
        <f>0.2*'Table S7ab'!C43</f>
        <v>13.4</v>
      </c>
      <c r="D21" s="1">
        <f>0.2*'Table S7ab'!D43</f>
        <v>14.4</v>
      </c>
      <c r="E21" s="1">
        <f>0.2*'Table S7ab'!E43</f>
        <v>12.200000000000001</v>
      </c>
      <c r="F21" s="1"/>
      <c r="G21" s="1">
        <f>0.2*'Table S7ab'!G43</f>
        <v>17</v>
      </c>
      <c r="H21" s="1">
        <f>0.2*'Table S7ab'!H43</f>
        <v>21.200000000000003</v>
      </c>
      <c r="I21" s="1">
        <f>0.2*'Table S7ab'!I43</f>
        <v>18.2</v>
      </c>
      <c r="J21" s="1">
        <f>0.2*'Table S7ab'!J43</f>
        <v>17.2</v>
      </c>
      <c r="K21" s="1">
        <f>0.2*'Table S7ab'!K43</f>
        <v>22.8</v>
      </c>
      <c r="L21" s="1">
        <f>0.2*'Table S7ab'!L43</f>
        <v>12.600000000000001</v>
      </c>
      <c r="M21" s="1">
        <f>0.2*'Table S7ab'!M43</f>
        <v>12.600000000000001</v>
      </c>
    </row>
    <row r="22" spans="1:13" x14ac:dyDescent="0.3">
      <c r="A22" s="3" t="s">
        <v>27</v>
      </c>
      <c r="B22" s="1">
        <f>0.2*'Table S7ab'!B44</f>
        <v>19</v>
      </c>
      <c r="C22" s="1">
        <f>0.2*'Table S7ab'!C44</f>
        <v>34</v>
      </c>
      <c r="D22" s="1">
        <f>0.2*'Table S7ab'!D44</f>
        <v>22.400000000000002</v>
      </c>
      <c r="E22" s="1">
        <f>0.2*'Table S7ab'!E44</f>
        <v>19</v>
      </c>
      <c r="F22" s="1"/>
      <c r="G22" s="1">
        <f>0.2*'Table S7ab'!G44</f>
        <v>23.6</v>
      </c>
      <c r="H22" s="1">
        <f>0.2*'Table S7ab'!H44</f>
        <v>37.800000000000004</v>
      </c>
      <c r="I22" s="1">
        <f>0.2*'Table S7ab'!I44</f>
        <v>36.4</v>
      </c>
      <c r="J22" s="1">
        <f>0.2*'Table S7ab'!J44</f>
        <v>22.8</v>
      </c>
      <c r="K22" s="1">
        <f>0.2*'Table S7ab'!K44</f>
        <v>27.6</v>
      </c>
      <c r="L22" s="1">
        <f>0.2*'Table S7ab'!L44</f>
        <v>19.400000000000002</v>
      </c>
      <c r="M22" s="1">
        <f>0.2*'Table S7ab'!M44</f>
        <v>19.400000000000002</v>
      </c>
    </row>
    <row r="23" spans="1:13" x14ac:dyDescent="0.3">
      <c r="A23" s="3" t="s">
        <v>28</v>
      </c>
      <c r="B23" s="1">
        <f>0.2*'Table S7ab'!B45</f>
        <v>94.2</v>
      </c>
      <c r="C23" s="1">
        <f>0.2*'Table S7ab'!C45</f>
        <v>203.60000000000002</v>
      </c>
      <c r="D23" s="1">
        <f>0.2*'Table S7ab'!D45</f>
        <v>111.2</v>
      </c>
      <c r="E23" s="1">
        <f>0.2*'Table S7ab'!E45</f>
        <v>94.2</v>
      </c>
      <c r="F23" s="1"/>
      <c r="G23" s="1">
        <f>0.2*'Table S7ab'!G45</f>
        <v>96</v>
      </c>
      <c r="H23" s="1">
        <f>0.2*'Table S7ab'!H45</f>
        <v>136.20000000000002</v>
      </c>
      <c r="I23" s="1">
        <f>0.2*'Table S7ab'!I45</f>
        <v>186.20000000000002</v>
      </c>
      <c r="J23" s="1">
        <f>0.2*'Table S7ab'!J45</f>
        <v>95.2</v>
      </c>
      <c r="K23" s="1">
        <f>0.2*'Table S7ab'!K45</f>
        <v>114.2</v>
      </c>
      <c r="L23" s="1">
        <f>0.2*'Table S7ab'!L45</f>
        <v>94.2</v>
      </c>
      <c r="M23" s="1">
        <f>0.2*'Table S7ab'!M45</f>
        <v>95.4</v>
      </c>
    </row>
    <row r="24" spans="1:13" x14ac:dyDescent="0.3">
      <c r="A24" s="21" t="s">
        <v>74</v>
      </c>
      <c r="B24" s="1">
        <f>0.2*'Table S7ab'!B46</f>
        <v>49.400000000000006</v>
      </c>
      <c r="C24" s="1">
        <f>0.2*'Table S7ab'!C46</f>
        <v>154.20000000000002</v>
      </c>
      <c r="D24" s="1">
        <f>0.2*'Table S7ab'!D46</f>
        <v>54.6</v>
      </c>
      <c r="E24" s="1">
        <f>0.2*'Table S7ab'!E46</f>
        <v>49.400000000000006</v>
      </c>
      <c r="F24" s="1"/>
      <c r="G24" s="1">
        <f>0.2*'Table S7ab'!G46</f>
        <v>53.400000000000006</v>
      </c>
      <c r="H24" s="1">
        <f>0.2*'Table S7ab'!H46</f>
        <v>72.600000000000009</v>
      </c>
      <c r="I24" s="1">
        <f>0.2*'Table S7ab'!I46</f>
        <v>127</v>
      </c>
      <c r="J24" s="1">
        <f>0.2*'Table S7ab'!J46</f>
        <v>52.2</v>
      </c>
      <c r="K24" s="1">
        <f>0.2*'Table S7ab'!K46</f>
        <v>50.2</v>
      </c>
      <c r="L24" s="1">
        <f>0.2*'Table S7ab'!L46</f>
        <v>48.400000000000006</v>
      </c>
      <c r="M24" s="1">
        <f>0.2*'Table S7ab'!M46</f>
        <v>49.2</v>
      </c>
    </row>
    <row r="26" spans="1:13" x14ac:dyDescent="0.3">
      <c r="A26" s="3"/>
      <c r="B26" s="1"/>
    </row>
    <row r="27" spans="1:13" x14ac:dyDescent="0.3">
      <c r="A27" s="3"/>
      <c r="B27" s="1"/>
    </row>
    <row r="28" spans="1:13" x14ac:dyDescent="0.3">
      <c r="A28" s="3"/>
      <c r="B28"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Table S1</vt:lpstr>
      <vt:lpstr>Table S2</vt:lpstr>
      <vt:lpstr>Table S3</vt:lpstr>
      <vt:lpstr>Table S4</vt:lpstr>
      <vt:lpstr>Figure 1</vt:lpstr>
      <vt:lpstr>Table S5</vt:lpstr>
      <vt:lpstr>Table S6</vt:lpstr>
      <vt:lpstr>Table S7ab</vt:lpstr>
      <vt:lpstr>Table S8</vt:lpstr>
      <vt:lpstr>Table S9</vt:lpstr>
      <vt:lpstr>Table S10</vt:lpstr>
      <vt:lpstr>Figure 2</vt:lpstr>
      <vt:lpstr>Figure 3</vt:lpstr>
      <vt:lpstr>Figure 4</vt:lpstr>
      <vt:lpstr>Table S11ab</vt:lpstr>
      <vt:lpstr>Table S12</vt:lpstr>
      <vt:lpstr>Figure 5</vt:lpstr>
      <vt:lpstr>Figure 6</vt:lpstr>
      <vt:lpstr>Figure 7</vt:lpstr>
      <vt:lpstr>Table S13ab</vt:lpstr>
    </vt:vector>
  </TitlesOfParts>
  <Company>University of Edinburgh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STEVENSON David</dc:creator>
  <cp:lastModifiedBy>STEVENSON David</cp:lastModifiedBy>
  <dcterms:created xsi:type="dcterms:W3CDTF">2022-09-15T12:42:00Z</dcterms:created>
  <dcterms:modified xsi:type="dcterms:W3CDTF">2022-10-06T14:11:24Z</dcterms:modified>
</cp:coreProperties>
</file>